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32" windowWidth="14940" windowHeight="7920" activeTab="5"/>
  </bookViews>
  <sheets>
    <sheet name="прил 3" sheetId="1" r:id="rId1"/>
    <sheet name="прил 2" sheetId="2" r:id="rId2"/>
    <sheet name="прил 1" sheetId="3" r:id="rId3"/>
    <sheet name="приказ 7 от 11.01.16" sheetId="4" r:id="rId4"/>
    <sheet name="прилож 5" sheetId="5" r:id="rId5"/>
    <sheet name="прил 4" sheetId="6" r:id="rId6"/>
  </sheets>
  <definedNames>
    <definedName name="_xlnm.Print_Titles" localSheetId="2">'прил 1'!$P:$P</definedName>
    <definedName name="_xlnm.Print_Titles" localSheetId="1">'прил 2'!$A:$A</definedName>
    <definedName name="_xlnm.Print_Titles" localSheetId="0">'прил 3'!$A:$A</definedName>
    <definedName name="_xlnm.Print_Area" localSheetId="3">'приказ 7 от 11.01.16'!$A$1:$H$22</definedName>
    <definedName name="_xlnm.Print_Area" localSheetId="2">'прил 1'!$A$1:$CE$32</definedName>
    <definedName name="_xlnm.Print_Area" localSheetId="1">'прил 2'!$A$1:$CW$21</definedName>
    <definedName name="_xlnm.Print_Area" localSheetId="0">'прил 3'!$A$1:$BU$9</definedName>
  </definedNames>
  <calcPr fullCalcOnLoad="1"/>
</workbook>
</file>

<file path=xl/sharedStrings.xml><?xml version="1.0" encoding="utf-8"?>
<sst xmlns="http://schemas.openxmlformats.org/spreadsheetml/2006/main" count="524" uniqueCount="251">
  <si>
    <t>Отдел образования Администрации Цимлянского района</t>
  </si>
  <si>
    <t>ПРИКАЗ</t>
  </si>
  <si>
    <t>ПРИКАЗЫВАЮ:</t>
  </si>
  <si>
    <t>Светлячок</t>
  </si>
  <si>
    <t>Радость</t>
  </si>
  <si>
    <t>Золотая рыбка</t>
  </si>
  <si>
    <t>Сказка</t>
  </si>
  <si>
    <t>Росинка</t>
  </si>
  <si>
    <t>Казачок</t>
  </si>
  <si>
    <t>Ромашка</t>
  </si>
  <si>
    <t>Ёлочка</t>
  </si>
  <si>
    <t>Колобок</t>
  </si>
  <si>
    <t>Вишенка</t>
  </si>
  <si>
    <t>Одуванчик</t>
  </si>
  <si>
    <t>Улыбка</t>
  </si>
  <si>
    <t>Ласточка</t>
  </si>
  <si>
    <t>Кораблик</t>
  </si>
  <si>
    <t>Ветерок</t>
  </si>
  <si>
    <t>Журавлик</t>
  </si>
  <si>
    <t>Ивушка</t>
  </si>
  <si>
    <t>Колосок</t>
  </si>
  <si>
    <t>Ягодка</t>
  </si>
  <si>
    <t>МБДОУ д/с Красная шапочка</t>
  </si>
  <si>
    <t>МБДОУ д/с Ягодка</t>
  </si>
  <si>
    <t>МБДОУ д/с Колосок</t>
  </si>
  <si>
    <t>МБДОУ д/с Ивушка</t>
  </si>
  <si>
    <t>МБДОУ д/с Алёнушка</t>
  </si>
  <si>
    <t>МБДОУ д/с Журавлик</t>
  </si>
  <si>
    <t>МБДОУ д/с Ветерок</t>
  </si>
  <si>
    <t>МБДОУ д/с Кораблик</t>
  </si>
  <si>
    <t>МБДОУ д/с Ласточка</t>
  </si>
  <si>
    <t>МБДОУ д/с Улыбка</t>
  </si>
  <si>
    <t>МБДОУ д/с Ручеёк</t>
  </si>
  <si>
    <t>МБДОУ д/с Одуванчик</t>
  </si>
  <si>
    <t>МБДОУ д/с Вишенка</t>
  </si>
  <si>
    <t>МБДОУ д/с Колобок</t>
  </si>
  <si>
    <t>МБДОУ д/с Ёлочка</t>
  </si>
  <si>
    <t>МБДОУ д/с Ромашка</t>
  </si>
  <si>
    <t>МБДОУ д/с Гнёздышко</t>
  </si>
  <si>
    <t>МБДОУ д/с Казачок</t>
  </si>
  <si>
    <t>МБДОУ д/с Росинка</t>
  </si>
  <si>
    <t>МБДОУ д/с Сказка</t>
  </si>
  <si>
    <t>МБДОУ д/с Золотая рыбка</t>
  </si>
  <si>
    <t>МБДОУ д/с Радость</t>
  </si>
  <si>
    <t>МБДОУ д/с Светлячок</t>
  </si>
  <si>
    <t>МБДОУ д/с Теремок</t>
  </si>
  <si>
    <t xml:space="preserve"> Заведующий отделом образования                                            </t>
  </si>
  <si>
    <t>Иванченко О.А</t>
  </si>
  <si>
    <t>МБДОУ д/с Алые паруса</t>
  </si>
  <si>
    <t>Алые паруса</t>
  </si>
  <si>
    <t>№ 07 -0</t>
  </si>
  <si>
    <t>от 11.01.2016г</t>
  </si>
  <si>
    <t xml:space="preserve">         В соответствии с Постановлением Администрации Цимлянского района № 604 от 23.10.2015г " О порядке формирования муниципального задания на оказание муниципальных услуг (выполнение работ) в отношении муниципальных учреждений Цимлянского района и финансового обеспечения выполнения муниципального задания", Областным законом от 22.10.2005 № 380-ЗС "О межбюджетных  отношениях органов государственной власти и органов местного самоуправления в Ростовской области" (в ред. и изм.), приказом отдела образования Администрации Цимлянского района от 09.12.2015г № 852 О внесение изменений в приказ отдела образования Администрации Цимлянского района №308-0 от 05.05.2015 "Об утверждении ведомственного перечня муниципальных услуг (работ), оказываемых в качестве основных видов деятельности муниципальными образовательными учреждениями, подведомственные отделу образования Администрации Цимлянского района",
</t>
  </si>
  <si>
    <t>1. Утвердить нормативную стоимость единицы предоставляемых муниципальных услуг в 2016 году, финансируемых за счет средств местного бюджета и родительской платы согласно расчетам:</t>
  </si>
  <si>
    <t xml:space="preserve">Сады местный </t>
  </si>
  <si>
    <t>2016г</t>
  </si>
  <si>
    <t xml:space="preserve"> 611</t>
  </si>
  <si>
    <t>Объем муниципальной услуги</t>
  </si>
  <si>
    <t>Базовый норматив затрат, непосредственно связанный с оказанием муниципальной услуги в год на одного обучающегося, тыс.руб</t>
  </si>
  <si>
    <t>Базовый норматив затрат на общехозяйственные нужды на оказание муниципальной услуги в год на одного обучающегося, тыс.руб</t>
  </si>
  <si>
    <t>ИТОГО базовый норматив затрат на оказание муниципальной услуги (присмотр и уход) в год на одного обучающегося, тыс.руб</t>
  </si>
  <si>
    <t>затраты на приобретение материальных запасов, потребляемых  (используемых) в процессе оказания муниципальной услуги</t>
  </si>
  <si>
    <t>иные затраты, непосредственно связанные с оказанием муниципальной услуги</t>
  </si>
  <si>
    <t>затраты на коммунальные услуги</t>
  </si>
  <si>
    <t>затраты на содержание объектов недвижимого имущества</t>
  </si>
  <si>
    <t>затраты на содержание объектов особо ценного движимого имущества</t>
  </si>
  <si>
    <t>транспортные услуги</t>
  </si>
  <si>
    <t>услуги связи</t>
  </si>
  <si>
    <t>программное обеспечение</t>
  </si>
  <si>
    <t>ФОТ работников, которые не принимают непосредственного участия в оказании услуги (сторожа, кочегары, слесарь-сантехник, рабочий по текущему ремонту, водители )</t>
  </si>
  <si>
    <t xml:space="preserve">Затраты на услуги по медосмотру работников, которые 
не принимают непосредственного участия в оказании муниципальной услуги
</t>
  </si>
  <si>
    <t>Затраты на прочие общехозяйственные нужды</t>
  </si>
  <si>
    <t>ВСЕГО</t>
  </si>
  <si>
    <t>в том числе:</t>
  </si>
  <si>
    <t>статья</t>
  </si>
  <si>
    <t>ВСЕГО бюджет</t>
  </si>
  <si>
    <t>родител</t>
  </si>
  <si>
    <t>ИТОГО 611 местный бюджет +родит</t>
  </si>
  <si>
    <t>211+213</t>
  </si>
  <si>
    <t>продукты питания 340</t>
  </si>
  <si>
    <t>мягкий инвентарь 340</t>
  </si>
  <si>
    <t>итого</t>
  </si>
  <si>
    <t>затраты на повышение квалификации основного персонала</t>
  </si>
  <si>
    <t>затраты на медосмотр основного персонала</t>
  </si>
  <si>
    <t>затраты на содержание и ремонт общего имущества в здании, сооружении, помещение в котором принадлежит на праве оперативного управления муниципальному учреждению</t>
  </si>
  <si>
    <t>затраты на обслуживание систем видеонаблюдения, «тревожных кнопок», контроля доступа в здание</t>
  </si>
  <si>
    <t>затраты на обслуживание противопожарного оборудования, систем охранно-пожарной сигнализации</t>
  </si>
  <si>
    <t>затраты на текущий ремонт и техническое обслуживание зданий и сооружений</t>
  </si>
  <si>
    <t>затраты на приобретение топлива для котельных</t>
  </si>
  <si>
    <t>затраты на санитарную обработку помещений</t>
  </si>
  <si>
    <t>затраты на вывоз твердых бытовых отходов</t>
  </si>
  <si>
    <t>затраты на текущий ремонт и техническое обслуживание особо ценного движимого имущества</t>
  </si>
  <si>
    <t xml:space="preserve">затраты на содержание транспорта, включая затраты на обязательное страхование гражданской ответственности владельцев автотранспортных средств  </t>
  </si>
  <si>
    <t>приобретение горюче-смазочных материалов</t>
  </si>
  <si>
    <t>налоги</t>
  </si>
  <si>
    <t>охрана</t>
  </si>
  <si>
    <t>аренда, моющие, хозтовары</t>
  </si>
  <si>
    <t>оклонение</t>
  </si>
  <si>
    <t xml:space="preserve">ФОТ работников, непосредственно связанных с оказанием муниципальной услуги  </t>
  </si>
  <si>
    <t>ФОТ работников, которые не принимают непосредственного участия в оказании услуги</t>
  </si>
  <si>
    <t>(обучающиеся, человек)</t>
  </si>
  <si>
    <t>Теремок</t>
  </si>
  <si>
    <t>Гнёздышко</t>
  </si>
  <si>
    <t>Ручеёк</t>
  </si>
  <si>
    <t>Алёнушка</t>
  </si>
  <si>
    <t>Красная шап</t>
  </si>
  <si>
    <t>ИТОГО   д/сады</t>
  </si>
  <si>
    <t>Сады Родительская</t>
  </si>
  <si>
    <t>ВСЕГО род</t>
  </si>
  <si>
    <t>00+95</t>
  </si>
  <si>
    <t>наименование образовательного учреждения</t>
  </si>
  <si>
    <t>приложение № 1 к приказу отдела образования от 11.01.2016г № 07</t>
  </si>
  <si>
    <t>за счет средств родительской платы, тыс. руб</t>
  </si>
  <si>
    <t>Объем финансового обеспечения выполнения муниципального задания, тыс. руб</t>
  </si>
  <si>
    <t>Базовые нормативные затраты на общехозяйственные нужды на оказание муниципальной услуги, тыс.руб</t>
  </si>
  <si>
    <t>Базовые нормативные затраты, непосредственно связанные с оказанием муниципальной услуги , тыс.руб</t>
  </si>
  <si>
    <t>Итого нормативные затраты на оказание муниципальной услуги, тыс.руб</t>
  </si>
  <si>
    <t>базовые нормативные затраты, непосредственно связанные с оказанием муниципальной услуги (присмотр и уход), тыс.руб</t>
  </si>
  <si>
    <t>Объем муниципальной услуги , число обучающихся</t>
  </si>
  <si>
    <t>ФОТ работников, непосредственно связанных с оказанием муниципальной услуги  (работники  прачечной, кастелянша, оператор хлораторной установки)</t>
  </si>
  <si>
    <t>Объем муниципальной услуги, число обучающихся</t>
  </si>
  <si>
    <t>базовые нормативные затраты, непосредственно связанных с оказанием муниципальной услуги</t>
  </si>
  <si>
    <t>базовые нормативные затраты на общехозяйственные нужды на оказание муниципальной услуги</t>
  </si>
  <si>
    <t>ИТОГО базовые нормативные затраты на оказание муниципальной услуги в год на одного обучающегося, тыс.руб</t>
  </si>
  <si>
    <t xml:space="preserve">Базовые нормативные затраты, непосредственно связанные с оказанием муниципальной услуги </t>
  </si>
  <si>
    <t>Базовые нормативные затраты на общехозяйственные нужды на оказание муниципальной услуги</t>
  </si>
  <si>
    <t>ИТОГО базовый норматив затрат на оказание муниципальной услуги  в год на одного обучающегося, тыс.руб</t>
  </si>
  <si>
    <t>ИТОГО базовые нормативные расходы, тыс.руб</t>
  </si>
  <si>
    <t>Базовые нормативные затраты на реализацию основных общеобразовательных программ начального общего образования</t>
  </si>
  <si>
    <t>Базовые нормативные затраты на реализацию основных общеобразовательных программ основного общего образования</t>
  </si>
  <si>
    <t>Базовые нормативные затраты на реализацию основных общеобразовательных программ среднего общего образования</t>
  </si>
  <si>
    <t>всего</t>
  </si>
  <si>
    <t>отклонение</t>
  </si>
  <si>
    <r>
      <t xml:space="preserve">Реализация основных общеобразовательных программ </t>
    </r>
    <r>
      <rPr>
        <u val="single"/>
        <sz val="16"/>
        <rFont val="Times New Roman"/>
        <family val="1"/>
      </rPr>
      <t>начального</t>
    </r>
    <r>
      <rPr>
        <sz val="16"/>
        <rFont val="Times New Roman"/>
        <family val="1"/>
      </rPr>
      <t xml:space="preserve"> общего образования</t>
    </r>
  </si>
  <si>
    <r>
      <t xml:space="preserve">Реализация основных общеобразовательных программ </t>
    </r>
    <r>
      <rPr>
        <u val="single"/>
        <sz val="16"/>
        <rFont val="Times New Roman"/>
        <family val="1"/>
      </rPr>
      <t>основного</t>
    </r>
    <r>
      <rPr>
        <sz val="16"/>
        <rFont val="Times New Roman"/>
        <family val="1"/>
      </rPr>
      <t xml:space="preserve"> общего образования</t>
    </r>
  </si>
  <si>
    <r>
      <t xml:space="preserve">Реализация основных общеобразовательных программ </t>
    </r>
    <r>
      <rPr>
        <u val="single"/>
        <sz val="16"/>
        <rFont val="Times New Roman"/>
        <family val="1"/>
      </rPr>
      <t>среднего</t>
    </r>
    <r>
      <rPr>
        <sz val="16"/>
        <rFont val="Times New Roman"/>
        <family val="1"/>
      </rPr>
      <t xml:space="preserve"> общего образования</t>
    </r>
  </si>
  <si>
    <t>ФОТ работников, непосредственно связанных с оказанием муниципальной услуги  (работники кухни, прачка, кастелянша, оператор хлораторной установки)</t>
  </si>
  <si>
    <t>Итого нормативные затраты на оказание муниципальной услуги</t>
  </si>
  <si>
    <t>статьи</t>
  </si>
  <si>
    <t>затраты на повышение квалификации основного персонала (обучение)</t>
  </si>
  <si>
    <t>(аренда,  охрана)</t>
  </si>
  <si>
    <t>лимиты ПФХД</t>
  </si>
  <si>
    <t>ИТОГО</t>
  </si>
  <si>
    <t>СОШ № 1</t>
  </si>
  <si>
    <t>СОШ № 2</t>
  </si>
  <si>
    <t>СОШ № 3</t>
  </si>
  <si>
    <t>Саркеловская СОШ</t>
  </si>
  <si>
    <t>Калининская СОШ</t>
  </si>
  <si>
    <t>Красноярская СОШ</t>
  </si>
  <si>
    <t>Камышевская СОШ</t>
  </si>
  <si>
    <t>Лозновская СОШ</t>
  </si>
  <si>
    <t>Маркинская СОШ</t>
  </si>
  <si>
    <t>Новоцимлянская СОШ</t>
  </si>
  <si>
    <t>Паршиковская СОШ</t>
  </si>
  <si>
    <t>Антоновская  ООШ</t>
  </si>
  <si>
    <t>Дубравненская ООШ</t>
  </si>
  <si>
    <t>Лозновская ООШ</t>
  </si>
  <si>
    <t>Хорошевская ООШ</t>
  </si>
  <si>
    <t xml:space="preserve">ВСОШ </t>
  </si>
  <si>
    <t>Наименование учреждения</t>
  </si>
  <si>
    <t>приложение № 2 к приказу отдела образования от 11.01.2016г № 07</t>
  </si>
  <si>
    <t xml:space="preserve">"Об утверждении нормативной стоимости единицы муниципальной услуги, предоставляемых  образовательными учреждениями в 2016 году " </t>
  </si>
  <si>
    <t>1.1.Услуга присмотр и уход  в муниципальных дошкольных образовательных  учреждениях  на одного обучающегося в год  согласно приложению № 1  к настоящему приказу;</t>
  </si>
  <si>
    <t>1.3. Услуги реализации основных общеобразовательных программ начального общего образования, основного общего образования, среднего общего образования на одного обучающегося согласно приложению № 2 к настоящему приказу.</t>
  </si>
  <si>
    <t>И.В.Антипов</t>
  </si>
  <si>
    <t>объем муниципальной услуги</t>
  </si>
  <si>
    <t>Всего базовые нормативные затраты</t>
  </si>
  <si>
    <t>Итого базовый норматив затрат на одного обучающегося, тыс.руб</t>
  </si>
  <si>
    <t>Итого базовые нормативные затраты на ОУ</t>
  </si>
  <si>
    <t>затраты на услуги связи</t>
  </si>
  <si>
    <t>затраты на программное обеспечение (Контур)</t>
  </si>
  <si>
    <t>итого 611</t>
  </si>
  <si>
    <t>затраты на повышение квалификации основного персонала (обучение), командировочные, соревнования</t>
  </si>
  <si>
    <t>(аренда,  охрана, моющие, канцтовары, семена)</t>
  </si>
  <si>
    <t>ЦВР</t>
  </si>
  <si>
    <t>ДЮСШ</t>
  </si>
  <si>
    <t>Итого</t>
  </si>
  <si>
    <t>доведение местный фонд 00 611</t>
  </si>
  <si>
    <t>612 местный</t>
  </si>
  <si>
    <t>лето</t>
  </si>
  <si>
    <t xml:space="preserve">СВОД </t>
  </si>
  <si>
    <t>приложение № 3 к приказу отдела образования от 11.01.2016г № 07</t>
  </si>
  <si>
    <t>211 заработная плата</t>
  </si>
  <si>
    <t>213 Начисления на оплату труда 30,2%</t>
  </si>
  <si>
    <t xml:space="preserve"> МБУ ДО ЦВР</t>
  </si>
  <si>
    <t>МБУ ДО ДЮСШ</t>
  </si>
  <si>
    <t>кол-во обучающихся</t>
  </si>
  <si>
    <t>наименование учреждения</t>
  </si>
  <si>
    <t>МБОУ лицей № 1</t>
  </si>
  <si>
    <t>МБОУ СОШ № 2</t>
  </si>
  <si>
    <t>МБОУ СОШ № 3</t>
  </si>
  <si>
    <t>МБОУ Саркеловская СОШ</t>
  </si>
  <si>
    <t>МБОУ Калининская СОШ</t>
  </si>
  <si>
    <t>МБОУ Красноярская СОШ</t>
  </si>
  <si>
    <t>МБОУ Камышевская СОШ</t>
  </si>
  <si>
    <t>МБОУ Лозновская СОШ</t>
  </si>
  <si>
    <t>МБОУ Маркинская СОШ</t>
  </si>
  <si>
    <t>МБОУ Паршиковская СОШ</t>
  </si>
  <si>
    <t>МБОУ Антоновская  ООШ</t>
  </si>
  <si>
    <t>МБОУ Дубравненская ООШ</t>
  </si>
  <si>
    <t>МБОУ Лозновская ООШ</t>
  </si>
  <si>
    <t>МБОУ Хорошевская ООШ</t>
  </si>
  <si>
    <t xml:space="preserve">МБОУ ВСОШ </t>
  </si>
  <si>
    <t>211 Заработная плата</t>
  </si>
  <si>
    <t>213 Начисления на оплату 30,2%</t>
  </si>
  <si>
    <t>МБОУ Новоцимлянская СОШ</t>
  </si>
  <si>
    <t>Всего базовые нормативные расходы, тыс.руб</t>
  </si>
  <si>
    <t>1.2. Услуга реализация дополнительных общеразвивающих программ на одного обучающегося в год согласно приложению № 3  к настоящему приказу;</t>
  </si>
  <si>
    <t>Нормативная стоимость единицы услуги по обучению дошкольного образования, финансируемых из областного бюджета в соответствии  с Областным законом от 22.10.2005 № 380-ЗС "О межбюджетных  отношениях органов государственной власти и органов местного самоуправления в Ростовской области" (в ред. и изм.)</t>
  </si>
  <si>
    <t>СЕЛО</t>
  </si>
  <si>
    <t>группы общеразвивающей направленности</t>
  </si>
  <si>
    <t>группы компенсирующей направленности</t>
  </si>
  <si>
    <t>режим работы</t>
  </si>
  <si>
    <t>дети до 3-х лет</t>
  </si>
  <si>
    <t>дети старше 3 лет детей с тяжелым нарушением речи, для слабовидящих, для детей с амблиопией, косоглазием, для детей с задержкой психического развития, для детей с умственной отсталостью легкой степени</t>
  </si>
  <si>
    <t>10 час</t>
  </si>
  <si>
    <t>12 час</t>
  </si>
  <si>
    <t>3,5 час</t>
  </si>
  <si>
    <t>ГОРОД (коэф 0,86 ФОТ )</t>
  </si>
  <si>
    <t>Нормативная стоимость единицы услуги  по обучению  начального, основного, среднего  общего образования для общеобразовательных учреждений и для  для общеобразовательных учреждений- сельских малокомплектных школ и расматриваемых в качестве таковых, финансируемых из областного бюджета в соответствии  с Областным законом от 22.10.2005 № 380-ЗС "О межбюджетных  отношениях органов государственной власти и органов местного самоуправления в Ростовской области" (в ред. и изм.)</t>
  </si>
  <si>
    <t>общеобразовательные учреждения, не являющихся малокомплектными со среднесложившейся наполняемостью классов 17 уч-ся</t>
  </si>
  <si>
    <t>общеобразовательные учреждения,  являющиеся малокомплектными со среднесложившейся наполняемостью классов 17 уч-ся</t>
  </si>
  <si>
    <t>на одного учащегося в год</t>
  </si>
  <si>
    <t>на один класс-комплект</t>
  </si>
  <si>
    <t>2 ступень с учетом ФГОС</t>
  </si>
  <si>
    <t>3 ступень</t>
  </si>
  <si>
    <t>Приложение № 4 к приказу отдела образования №  7-о от 11.01.2016г</t>
  </si>
  <si>
    <t>Приложение № 5 к приказу отдела образования №  7-о от 11.01.2016г</t>
  </si>
  <si>
    <t>ФГОС 2 ступень (6 класс, 4 мес)</t>
  </si>
  <si>
    <t>ФГОС 2 ступень (5 класс, 12 мес)</t>
  </si>
  <si>
    <t>1 ступень с учетом ФГОС</t>
  </si>
  <si>
    <t>Обучение на дому или в медицинских организациях, нуждающихся в длительном лечении, а также детей-инвалидов, которые по состоянию здоровья не могут посещать образовательные организации (без ФГОС)</t>
  </si>
  <si>
    <t>общеобразовательные учреждения с очно-заочной формой обучения, со среднесложившейся наполняемостью классов 17 уч-ся (без ФГОС)</t>
  </si>
  <si>
    <t>углубленное изучение (без ФГОС)</t>
  </si>
  <si>
    <t xml:space="preserve"> норматив на 1 ребенка </t>
  </si>
  <si>
    <t>одновозрастные</t>
  </si>
  <si>
    <t>старше 3 лет</t>
  </si>
  <si>
    <t>норматив на 1 ребенка</t>
  </si>
  <si>
    <t>разновозрастные</t>
  </si>
  <si>
    <t>от 2-х месяцев до 8 лет</t>
  </si>
  <si>
    <t>дети старше 3 лет (три возраста)</t>
  </si>
  <si>
    <t>дети старше 3-х лет     (два возраста)</t>
  </si>
  <si>
    <t>2. Установить нормативную стоимость единицы  предоставляемых муниципальных услуг по обучению в 2016 году, финансируемых за счет средств областного бюджета (субвенции) в соответствии с Областным законом от 22.10.2005 № 380-ЗС "О межбюджетных  отношениях органов государственной власти и органов местного самоуправления в Ростовской области" (в ред. и изм.):</t>
  </si>
  <si>
    <t>2.1. Услуги по обучению дошкольного образования согласно приложению № 5 к настоящему приказу.</t>
  </si>
  <si>
    <t>2.2. Услуги по обучению  начального, основного, среднего  общего образования для общеобразовательных учреждений и для  для общеобразовательных учреждений- сельских малокомплектных школ и расматриваемых в качестве таковых согласно приложению № 4 к настоящему приказу.</t>
  </si>
  <si>
    <t>3. Контроль за исполнением настоящего приказа возложить на главного экономиста МАУ РЦО Цимлянского района Иванченко О.А. (по согласованию).</t>
  </si>
  <si>
    <t>ИТОГО базовые нормативные затраты на оказание муниципальной услуги в год, тыс.руб</t>
  </si>
  <si>
    <t>(всего обучающиеся, человек)</t>
  </si>
  <si>
    <t xml:space="preserve">город </t>
  </si>
  <si>
    <t>село</t>
  </si>
  <si>
    <t>малок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</si>
</sst>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_-* #,##0.0_р_._-;\-* #,##0.0_р_._-;_-* &quot;-&quot;??_р_._-;_-@_-"/>
    <numFmt numFmtId="171" formatCode="#,##0.0_ ;\-#,##0.0\ "/>
    <numFmt numFmtId="172" formatCode="#,##0.0"/>
    <numFmt numFmtId="173" formatCode="#,##0.000"/>
    <numFmt numFmtId="174" formatCode="_-* #,##0_р_._-;\-* #,##0_р_._-;_-* &quot;-&quot;??_р_._-;_-@_-"/>
    <numFmt numFmtId="175" formatCode="#,##0_ ;\-#,##0\ "/>
    <numFmt numFmtId="176" formatCode="_-* #,##0.0_р_._-;\-* #,##0.0_р_._-;_-* &quot;-&quot;?_р_._-;_-@_-"/>
    <numFmt numFmtId="177" formatCode="_-* #,##0.000_р_._-;\-* #,##0.000_р_._-;_-* &quot;-&quot;???_р_._-;_-@_-"/>
    <numFmt numFmtId="178" formatCode="#,##0.0000"/>
    <numFmt numFmtId="179" formatCode="0.00000000"/>
    <numFmt numFmtId="180" formatCode="0.0000000"/>
    <numFmt numFmtId="181" formatCode="0.000000"/>
    <numFmt numFmtId="182" formatCode="0.00000"/>
    <numFmt numFmtId="183" formatCode="0.000"/>
  </numFmts>
  <fonts count="92">
    <font>
      <sz val="10"/>
      <name val="Arial Cyr"/>
      <family val="0"/>
    </font>
    <font>
      <sz val="8"/>
      <name val="Arial Cyr"/>
      <family val="0"/>
    </font>
    <font>
      <sz val="1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Arial Black"/>
      <family val="2"/>
    </font>
    <font>
      <b/>
      <sz val="8"/>
      <name val="Arial Black"/>
      <family val="2"/>
    </font>
    <font>
      <b/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u val="single"/>
      <sz val="16"/>
      <name val="Times New Roman"/>
      <family val="1"/>
    </font>
    <font>
      <b/>
      <sz val="16"/>
      <color indexed="10"/>
      <name val="Times New Roman"/>
      <family val="1"/>
    </font>
    <font>
      <sz val="18"/>
      <name val="Times New Roman"/>
      <family val="1"/>
    </font>
    <font>
      <b/>
      <sz val="16"/>
      <color indexed="60"/>
      <name val="Times New Roman"/>
      <family val="1"/>
    </font>
    <font>
      <b/>
      <sz val="12"/>
      <color indexed="60"/>
      <name val="Times New Roman"/>
      <family val="1"/>
    </font>
    <font>
      <sz val="12"/>
      <color indexed="8"/>
      <name val="Calibri"/>
      <family val="2"/>
    </font>
    <font>
      <b/>
      <sz val="16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4"/>
      <name val="Times New Roman"/>
      <family val="1"/>
    </font>
    <font>
      <b/>
      <sz val="12"/>
      <color indexed="25"/>
      <name val="Times New Roman"/>
      <family val="1"/>
    </font>
    <font>
      <b/>
      <sz val="16"/>
      <color indexed="48"/>
      <name val="Times New Roman"/>
      <family val="1"/>
    </font>
    <font>
      <b/>
      <sz val="16"/>
      <color indexed="17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16"/>
      <name val="Times New Roman"/>
      <family val="1"/>
    </font>
    <font>
      <sz val="12"/>
      <color indexed="17"/>
      <name val="Times New Roman"/>
      <family val="1"/>
    </font>
    <font>
      <sz val="12"/>
      <color indexed="52"/>
      <name val="Times New Roman"/>
      <family val="1"/>
    </font>
    <font>
      <sz val="12"/>
      <color indexed="14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C00FF"/>
      <name val="Times New Roman"/>
      <family val="1"/>
    </font>
    <font>
      <b/>
      <sz val="12"/>
      <color rgb="FF993366"/>
      <name val="Times New Roman"/>
      <family val="1"/>
    </font>
    <font>
      <b/>
      <sz val="12"/>
      <color rgb="FFFF33CC"/>
      <name val="Times New Roman"/>
      <family val="1"/>
    </font>
    <font>
      <b/>
      <sz val="16"/>
      <color theme="5" tint="-0.24997000396251678"/>
      <name val="Times New Roman"/>
      <family val="1"/>
    </font>
    <font>
      <b/>
      <sz val="16"/>
      <color rgb="FF3333FF"/>
      <name val="Times New Roman"/>
      <family val="1"/>
    </font>
    <font>
      <b/>
      <sz val="16"/>
      <color rgb="FF0066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sz val="12"/>
      <color rgb="FF990000"/>
      <name val="Times New Roman"/>
      <family val="1"/>
    </font>
    <font>
      <sz val="12"/>
      <color rgb="FF009900"/>
      <name val="Times New Roman"/>
      <family val="1"/>
    </font>
    <font>
      <sz val="12"/>
      <color rgb="FFCC6600"/>
      <name val="Times New Roman"/>
      <family val="1"/>
    </font>
    <font>
      <sz val="12"/>
      <color rgb="FFCC00FF"/>
      <name val="Times New Roman"/>
      <family val="1"/>
    </font>
    <font>
      <b/>
      <sz val="12"/>
      <color rgb="FF0000FF"/>
      <name val="Times New Roman"/>
      <family val="1"/>
    </font>
    <font>
      <b/>
      <sz val="12"/>
      <color rgb="FF990000"/>
      <name val="Times New Roman"/>
      <family val="1"/>
    </font>
    <font>
      <b/>
      <sz val="12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0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57" fillId="0" borderId="0">
      <alignment/>
      <protection/>
    </xf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9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justify"/>
    </xf>
    <xf numFmtId="0" fontId="2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justify" vertical="top" wrapText="1"/>
    </xf>
    <xf numFmtId="49" fontId="10" fillId="0" borderId="0" xfId="0" applyNumberFormat="1" applyFont="1" applyBorder="1" applyAlignment="1">
      <alignment horizontal="center" vertical="top" wrapText="1"/>
    </xf>
    <xf numFmtId="168" fontId="10" fillId="0" borderId="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8" fillId="0" borderId="0" xfId="0" applyFont="1" applyAlignment="1">
      <alignment horizontal="justify" vertical="top"/>
    </xf>
    <xf numFmtId="0" fontId="9" fillId="0" borderId="10" xfId="0" applyFont="1" applyBorder="1" applyAlignment="1">
      <alignment/>
    </xf>
    <xf numFmtId="0" fontId="74" fillId="0" borderId="0" xfId="0" applyFont="1" applyAlignment="1">
      <alignment/>
    </xf>
    <xf numFmtId="0" fontId="12" fillId="0" borderId="0" xfId="0" applyFont="1" applyAlignment="1">
      <alignment/>
    </xf>
    <xf numFmtId="49" fontId="12" fillId="0" borderId="11" xfId="0" applyNumberFormat="1" applyFont="1" applyBorder="1" applyAlignment="1">
      <alignment/>
    </xf>
    <xf numFmtId="0" fontId="9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vertical="top" wrapText="1"/>
    </xf>
    <xf numFmtId="0" fontId="75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/>
    </xf>
    <xf numFmtId="0" fontId="9" fillId="33" borderId="12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9" fillId="0" borderId="13" xfId="0" applyFont="1" applyBorder="1" applyAlignment="1">
      <alignment vertical="top" wrapText="1"/>
    </xf>
    <xf numFmtId="0" fontId="8" fillId="34" borderId="10" xfId="0" applyFont="1" applyFill="1" applyBorder="1" applyAlignment="1">
      <alignment vertical="top" wrapText="1"/>
    </xf>
    <xf numFmtId="168" fontId="9" fillId="0" borderId="10" xfId="0" applyNumberFormat="1" applyFont="1" applyBorder="1" applyAlignment="1">
      <alignment horizontal="center"/>
    </xf>
    <xf numFmtId="168" fontId="9" fillId="0" borderId="10" xfId="0" applyNumberFormat="1" applyFont="1" applyFill="1" applyBorder="1" applyAlignment="1">
      <alignment horizontal="center"/>
    </xf>
    <xf numFmtId="168" fontId="9" fillId="35" borderId="10" xfId="0" applyNumberFormat="1" applyFont="1" applyFill="1" applyBorder="1" applyAlignment="1">
      <alignment horizontal="center"/>
    </xf>
    <xf numFmtId="170" fontId="16" fillId="0" borderId="10" xfId="61" applyNumberFormat="1" applyFont="1" applyFill="1" applyBorder="1" applyAlignment="1">
      <alignment/>
    </xf>
    <xf numFmtId="170" fontId="75" fillId="0" borderId="10" xfId="61" applyNumberFormat="1" applyFont="1" applyFill="1" applyBorder="1" applyAlignment="1">
      <alignment/>
    </xf>
    <xf numFmtId="170" fontId="12" fillId="36" borderId="10" xfId="61" applyNumberFormat="1" applyFont="1" applyFill="1" applyBorder="1" applyAlignment="1">
      <alignment/>
    </xf>
    <xf numFmtId="172" fontId="9" fillId="33" borderId="10" xfId="0" applyNumberFormat="1" applyFont="1" applyFill="1" applyBorder="1" applyAlignment="1">
      <alignment horizontal="center"/>
    </xf>
    <xf numFmtId="172" fontId="12" fillId="33" borderId="10" xfId="0" applyNumberFormat="1" applyFont="1" applyFill="1" applyBorder="1" applyAlignment="1">
      <alignment/>
    </xf>
    <xf numFmtId="172" fontId="9" fillId="33" borderId="10" xfId="0" applyNumberFormat="1" applyFont="1" applyFill="1" applyBorder="1" applyAlignment="1">
      <alignment/>
    </xf>
    <xf numFmtId="172" fontId="12" fillId="33" borderId="12" xfId="0" applyNumberFormat="1" applyFont="1" applyFill="1" applyBorder="1" applyAlignment="1">
      <alignment/>
    </xf>
    <xf numFmtId="172" fontId="9" fillId="0" borderId="10" xfId="0" applyNumberFormat="1" applyFont="1" applyBorder="1" applyAlignment="1">
      <alignment/>
    </xf>
    <xf numFmtId="172" fontId="12" fillId="0" borderId="10" xfId="0" applyNumberFormat="1" applyFont="1" applyBorder="1" applyAlignment="1">
      <alignment/>
    </xf>
    <xf numFmtId="172" fontId="12" fillId="37" borderId="10" xfId="0" applyNumberFormat="1" applyFont="1" applyFill="1" applyBorder="1" applyAlignment="1">
      <alignment/>
    </xf>
    <xf numFmtId="172" fontId="12" fillId="38" borderId="10" xfId="0" applyNumberFormat="1" applyFont="1" applyFill="1" applyBorder="1" applyAlignment="1">
      <alignment/>
    </xf>
    <xf numFmtId="172" fontId="12" fillId="39" borderId="10" xfId="0" applyNumberFormat="1" applyFont="1" applyFill="1" applyBorder="1" applyAlignment="1">
      <alignment/>
    </xf>
    <xf numFmtId="172" fontId="8" fillId="0" borderId="10" xfId="0" applyNumberFormat="1" applyFont="1" applyBorder="1" applyAlignment="1">
      <alignment/>
    </xf>
    <xf numFmtId="172" fontId="10" fillId="37" borderId="10" xfId="0" applyNumberFormat="1" applyFont="1" applyFill="1" applyBorder="1" applyAlignment="1">
      <alignment horizontal="center"/>
    </xf>
    <xf numFmtId="172" fontId="8" fillId="0" borderId="10" xfId="0" applyNumberFormat="1" applyFont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172" fontId="12" fillId="39" borderId="10" xfId="0" applyNumberFormat="1" applyFont="1" applyFill="1" applyBorder="1" applyAlignment="1">
      <alignment horizontal="center"/>
    </xf>
    <xf numFmtId="172" fontId="12" fillId="33" borderId="10" xfId="0" applyNumberFormat="1" applyFont="1" applyFill="1" applyBorder="1" applyAlignment="1">
      <alignment horizontal="center"/>
    </xf>
    <xf numFmtId="176" fontId="9" fillId="0" borderId="10" xfId="0" applyNumberFormat="1" applyFont="1" applyBorder="1" applyAlignment="1">
      <alignment/>
    </xf>
    <xf numFmtId="172" fontId="9" fillId="0" borderId="10" xfId="0" applyNumberFormat="1" applyFont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/>
    </xf>
    <xf numFmtId="172" fontId="9" fillId="33" borderId="10" xfId="61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172" fontId="17" fillId="0" borderId="10" xfId="61" applyNumberFormat="1" applyFont="1" applyFill="1" applyBorder="1" applyAlignment="1">
      <alignment horizontal="center"/>
    </xf>
    <xf numFmtId="172" fontId="12" fillId="36" borderId="10" xfId="61" applyNumberFormat="1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1" fontId="12" fillId="40" borderId="10" xfId="61" applyNumberFormat="1" applyFont="1" applyFill="1" applyBorder="1" applyAlignment="1">
      <alignment horizontal="center"/>
    </xf>
    <xf numFmtId="172" fontId="12" fillId="41" borderId="10" xfId="0" applyNumberFormat="1" applyFont="1" applyFill="1" applyBorder="1" applyAlignment="1">
      <alignment/>
    </xf>
    <xf numFmtId="172" fontId="10" fillId="41" borderId="1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9" fillId="33" borderId="0" xfId="0" applyFont="1" applyFill="1" applyAlignment="1">
      <alignment/>
    </xf>
    <xf numFmtId="0" fontId="76" fillId="0" borderId="0" xfId="0" applyFont="1" applyAlignment="1">
      <alignment/>
    </xf>
    <xf numFmtId="49" fontId="9" fillId="0" borderId="11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172" fontId="16" fillId="0" borderId="10" xfId="61" applyNumberFormat="1" applyFont="1" applyFill="1" applyBorder="1" applyAlignment="1">
      <alignment/>
    </xf>
    <xf numFmtId="170" fontId="9" fillId="0" borderId="10" xfId="0" applyNumberFormat="1" applyFont="1" applyBorder="1" applyAlignment="1">
      <alignment/>
    </xf>
    <xf numFmtId="172" fontId="9" fillId="0" borderId="0" xfId="0" applyNumberFormat="1" applyFont="1" applyBorder="1" applyAlignment="1">
      <alignment/>
    </xf>
    <xf numFmtId="172" fontId="17" fillId="0" borderId="0" xfId="61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2" fillId="36" borderId="12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8" fillId="38" borderId="14" xfId="0" applyFont="1" applyFill="1" applyBorder="1" applyAlignment="1">
      <alignment horizontal="center" vertical="top" wrapText="1"/>
    </xf>
    <xf numFmtId="0" fontId="8" fillId="38" borderId="15" xfId="0" applyFont="1" applyFill="1" applyBorder="1" applyAlignment="1">
      <alignment vertical="top" wrapText="1"/>
    </xf>
    <xf numFmtId="0" fontId="8" fillId="0" borderId="10" xfId="0" applyFont="1" applyBorder="1" applyAlignment="1">
      <alignment/>
    </xf>
    <xf numFmtId="0" fontId="4" fillId="42" borderId="0" xfId="0" applyFont="1" applyFill="1" applyAlignment="1">
      <alignment/>
    </xf>
    <xf numFmtId="14" fontId="4" fillId="42" borderId="0" xfId="0" applyNumberFormat="1" applyFont="1" applyFill="1" applyAlignment="1">
      <alignment horizontal="center"/>
    </xf>
    <xf numFmtId="0" fontId="3" fillId="41" borderId="16" xfId="0" applyFont="1" applyFill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41" borderId="13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0" fontId="8" fillId="0" borderId="10" xfId="0" applyFont="1" applyBorder="1" applyAlignment="1">
      <alignment horizontal="justify" vertical="top" wrapText="1"/>
    </xf>
    <xf numFmtId="0" fontId="8" fillId="43" borderId="10" xfId="0" applyFont="1" applyFill="1" applyBorder="1" applyAlignment="1">
      <alignment horizontal="justify" vertical="top" wrapText="1"/>
    </xf>
    <xf numFmtId="0" fontId="8" fillId="43" borderId="10" xfId="0" applyFont="1" applyFill="1" applyBorder="1" applyAlignment="1">
      <alignment vertical="top" wrapText="1"/>
    </xf>
    <xf numFmtId="0" fontId="8" fillId="0" borderId="15" xfId="0" applyFont="1" applyBorder="1" applyAlignment="1">
      <alignment horizontal="justify" vertical="top" wrapText="1"/>
    </xf>
    <xf numFmtId="43" fontId="3" fillId="0" borderId="10" xfId="61" applyFont="1" applyBorder="1" applyAlignment="1">
      <alignment horizontal="center"/>
    </xf>
    <xf numFmtId="170" fontId="3" fillId="0" borderId="10" xfId="61" applyNumberFormat="1" applyFont="1" applyBorder="1" applyAlignment="1">
      <alignment horizontal="center"/>
    </xf>
    <xf numFmtId="43" fontId="20" fillId="35" borderId="10" xfId="61" applyFont="1" applyFill="1" applyBorder="1" applyAlignment="1">
      <alignment horizontal="center"/>
    </xf>
    <xf numFmtId="0" fontId="3" fillId="41" borderId="10" xfId="0" applyFont="1" applyFill="1" applyBorder="1" applyAlignment="1">
      <alignment/>
    </xf>
    <xf numFmtId="172" fontId="8" fillId="33" borderId="10" xfId="0" applyNumberFormat="1" applyFont="1" applyFill="1" applyBorder="1" applyAlignment="1">
      <alignment horizontal="center"/>
    </xf>
    <xf numFmtId="172" fontId="10" fillId="33" borderId="10" xfId="0" applyNumberFormat="1" applyFont="1" applyFill="1" applyBorder="1" applyAlignment="1">
      <alignment/>
    </xf>
    <xf numFmtId="172" fontId="8" fillId="33" borderId="10" xfId="0" applyNumberFormat="1" applyFont="1" applyFill="1" applyBorder="1" applyAlignment="1">
      <alignment/>
    </xf>
    <xf numFmtId="172" fontId="10" fillId="33" borderId="12" xfId="0" applyNumberFormat="1" applyFont="1" applyFill="1" applyBorder="1" applyAlignment="1">
      <alignment/>
    </xf>
    <xf numFmtId="172" fontId="10" fillId="0" borderId="10" xfId="0" applyNumberFormat="1" applyFont="1" applyBorder="1" applyAlignment="1">
      <alignment/>
    </xf>
    <xf numFmtId="172" fontId="10" fillId="37" borderId="10" xfId="0" applyNumberFormat="1" applyFont="1" applyFill="1" applyBorder="1" applyAlignment="1">
      <alignment/>
    </xf>
    <xf numFmtId="170" fontId="8" fillId="0" borderId="10" xfId="61" applyNumberFormat="1" applyFont="1" applyBorder="1" applyAlignment="1">
      <alignment horizontal="center"/>
    </xf>
    <xf numFmtId="43" fontId="8" fillId="0" borderId="10" xfId="61" applyFont="1" applyBorder="1" applyAlignment="1">
      <alignment horizontal="center"/>
    </xf>
    <xf numFmtId="172" fontId="10" fillId="38" borderId="10" xfId="0" applyNumberFormat="1" applyFont="1" applyFill="1" applyBorder="1" applyAlignment="1">
      <alignment/>
    </xf>
    <xf numFmtId="172" fontId="8" fillId="37" borderId="10" xfId="0" applyNumberFormat="1" applyFont="1" applyFill="1" applyBorder="1" applyAlignment="1">
      <alignment/>
    </xf>
    <xf numFmtId="172" fontId="10" fillId="44" borderId="10" xfId="0" applyNumberFormat="1" applyFont="1" applyFill="1" applyBorder="1" applyAlignment="1">
      <alignment/>
    </xf>
    <xf numFmtId="170" fontId="8" fillId="0" borderId="10" xfId="0" applyNumberFormat="1" applyFont="1" applyBorder="1" applyAlignment="1">
      <alignment/>
    </xf>
    <xf numFmtId="173" fontId="4" fillId="44" borderId="10" xfId="0" applyNumberFormat="1" applyFont="1" applyFill="1" applyBorder="1" applyAlignment="1">
      <alignment/>
    </xf>
    <xf numFmtId="173" fontId="3" fillId="43" borderId="10" xfId="0" applyNumberFormat="1" applyFont="1" applyFill="1" applyBorder="1" applyAlignment="1">
      <alignment/>
    </xf>
    <xf numFmtId="172" fontId="3" fillId="0" borderId="10" xfId="0" applyNumberFormat="1" applyFont="1" applyBorder="1" applyAlignment="1">
      <alignment/>
    </xf>
    <xf numFmtId="172" fontId="77" fillId="0" borderId="10" xfId="0" applyNumberFormat="1" applyFont="1" applyBorder="1" applyAlignment="1">
      <alignment/>
    </xf>
    <xf numFmtId="172" fontId="78" fillId="0" borderId="10" xfId="0" applyNumberFormat="1" applyFont="1" applyBorder="1" applyAlignment="1">
      <alignment/>
    </xf>
    <xf numFmtId="172" fontId="79" fillId="0" borderId="10" xfId="0" applyNumberFormat="1" applyFont="1" applyBorder="1" applyAlignment="1">
      <alignment/>
    </xf>
    <xf numFmtId="0" fontId="3" fillId="35" borderId="10" xfId="0" applyFont="1" applyFill="1" applyBorder="1" applyAlignment="1">
      <alignment/>
    </xf>
    <xf numFmtId="43" fontId="4" fillId="0" borderId="10" xfId="61" applyFont="1" applyBorder="1" applyAlignment="1">
      <alignment horizontal="center"/>
    </xf>
    <xf numFmtId="3" fontId="4" fillId="9" borderId="10" xfId="0" applyNumberFormat="1" applyFont="1" applyFill="1" applyBorder="1" applyAlignment="1">
      <alignment horizontal="center"/>
    </xf>
    <xf numFmtId="172" fontId="10" fillId="9" borderId="10" xfId="0" applyNumberFormat="1" applyFont="1" applyFill="1" applyBorder="1" applyAlignment="1">
      <alignment horizontal="center"/>
    </xf>
    <xf numFmtId="177" fontId="3" fillId="0" borderId="0" xfId="0" applyNumberFormat="1" applyFont="1" applyAlignment="1">
      <alignment/>
    </xf>
    <xf numFmtId="0" fontId="8" fillId="0" borderId="0" xfId="0" applyFont="1" applyAlignment="1">
      <alignment vertical="top"/>
    </xf>
    <xf numFmtId="0" fontId="9" fillId="0" borderId="13" xfId="0" applyFont="1" applyBorder="1" applyAlignment="1">
      <alignment horizontal="center" vertical="top" wrapText="1"/>
    </xf>
    <xf numFmtId="0" fontId="9" fillId="38" borderId="14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9" fillId="38" borderId="1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wrapText="1"/>
    </xf>
    <xf numFmtId="0" fontId="80" fillId="0" borderId="10" xfId="0" applyFont="1" applyBorder="1" applyAlignment="1">
      <alignment/>
    </xf>
    <xf numFmtId="0" fontId="9" fillId="0" borderId="12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9" fillId="34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/>
    </xf>
    <xf numFmtId="168" fontId="3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172" fontId="22" fillId="0" borderId="10" xfId="63" applyNumberFormat="1" applyFont="1" applyBorder="1" applyAlignment="1">
      <alignment horizontal="center"/>
    </xf>
    <xf numFmtId="172" fontId="81" fillId="0" borderId="10" xfId="0" applyNumberFormat="1" applyFont="1" applyBorder="1" applyAlignment="1">
      <alignment/>
    </xf>
    <xf numFmtId="172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8" fontId="13" fillId="0" borderId="10" xfId="0" applyNumberFormat="1" applyFont="1" applyBorder="1" applyAlignment="1">
      <alignment horizontal="center"/>
    </xf>
    <xf numFmtId="172" fontId="12" fillId="45" borderId="10" xfId="0" applyNumberFormat="1" applyFont="1" applyFill="1" applyBorder="1" applyAlignment="1">
      <alignment/>
    </xf>
    <xf numFmtId="172" fontId="12" fillId="44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/>
    </xf>
    <xf numFmtId="173" fontId="12" fillId="37" borderId="10" xfId="0" applyNumberFormat="1" applyFont="1" applyFill="1" applyBorder="1" applyAlignment="1">
      <alignment/>
    </xf>
    <xf numFmtId="4" fontId="9" fillId="0" borderId="10" xfId="0" applyNumberFormat="1" applyFont="1" applyBorder="1" applyAlignment="1">
      <alignment/>
    </xf>
    <xf numFmtId="173" fontId="12" fillId="44" borderId="10" xfId="0" applyNumberFormat="1" applyFont="1" applyFill="1" applyBorder="1" applyAlignment="1">
      <alignment/>
    </xf>
    <xf numFmtId="178" fontId="12" fillId="41" borderId="10" xfId="0" applyNumberFormat="1" applyFont="1" applyFill="1" applyBorder="1" applyAlignment="1">
      <alignment/>
    </xf>
    <xf numFmtId="172" fontId="9" fillId="0" borderId="0" xfId="0" applyNumberFormat="1" applyFont="1" applyAlignment="1">
      <alignment/>
    </xf>
    <xf numFmtId="0" fontId="17" fillId="0" borderId="10" xfId="0" applyFont="1" applyBorder="1" applyAlignment="1">
      <alignment/>
    </xf>
    <xf numFmtId="168" fontId="25" fillId="0" borderId="10" xfId="0" applyNumberFormat="1" applyFont="1" applyBorder="1" applyAlignment="1">
      <alignment horizontal="center"/>
    </xf>
    <xf numFmtId="172" fontId="25" fillId="0" borderId="10" xfId="0" applyNumberFormat="1" applyFont="1" applyBorder="1" applyAlignment="1">
      <alignment horizontal="center"/>
    </xf>
    <xf numFmtId="172" fontId="25" fillId="0" borderId="10" xfId="63" applyNumberFormat="1" applyFont="1" applyBorder="1" applyAlignment="1">
      <alignment horizontal="center"/>
    </xf>
    <xf numFmtId="172" fontId="17" fillId="0" borderId="10" xfId="63" applyNumberFormat="1" applyFont="1" applyBorder="1" applyAlignment="1">
      <alignment horizontal="center"/>
    </xf>
    <xf numFmtId="4" fontId="12" fillId="41" borderId="1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2" fontId="11" fillId="0" borderId="0" xfId="0" applyNumberFormat="1" applyFont="1" applyAlignment="1">
      <alignment/>
    </xf>
    <xf numFmtId="170" fontId="22" fillId="0" borderId="10" xfId="63" applyNumberFormat="1" applyFont="1" applyBorder="1" applyAlignment="1">
      <alignment horizontal="center"/>
    </xf>
    <xf numFmtId="168" fontId="3" fillId="0" borderId="10" xfId="63" applyNumberFormat="1" applyFont="1" applyBorder="1" applyAlignment="1">
      <alignment horizontal="center"/>
    </xf>
    <xf numFmtId="168" fontId="25" fillId="0" borderId="10" xfId="63" applyNumberFormat="1" applyFont="1" applyBorder="1" applyAlignment="1">
      <alignment horizontal="center"/>
    </xf>
    <xf numFmtId="170" fontId="25" fillId="0" borderId="10" xfId="63" applyNumberFormat="1" applyFont="1" applyBorder="1" applyAlignment="1">
      <alignment horizontal="center"/>
    </xf>
    <xf numFmtId="170" fontId="3" fillId="0" borderId="0" xfId="63" applyNumberFormat="1" applyFont="1" applyAlignment="1">
      <alignment/>
    </xf>
    <xf numFmtId="174" fontId="4" fillId="0" borderId="10" xfId="63" applyNumberFormat="1" applyFont="1" applyFill="1" applyBorder="1" applyAlignment="1">
      <alignment horizontal="center"/>
    </xf>
    <xf numFmtId="168" fontId="3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70" fontId="3" fillId="0" borderId="10" xfId="63" applyNumberFormat="1" applyFont="1" applyBorder="1" applyAlignment="1">
      <alignment horizontal="center"/>
    </xf>
    <xf numFmtId="43" fontId="11" fillId="0" borderId="10" xfId="0" applyNumberFormat="1" applyFont="1" applyBorder="1" applyAlignment="1">
      <alignment/>
    </xf>
    <xf numFmtId="170" fontId="11" fillId="0" borderId="0" xfId="0" applyNumberFormat="1" applyFont="1" applyAlignment="1">
      <alignment/>
    </xf>
    <xf numFmtId="0" fontId="12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8" fillId="33" borderId="12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173" fontId="4" fillId="39" borderId="10" xfId="0" applyNumberFormat="1" applyFont="1" applyFill="1" applyBorder="1" applyAlignment="1">
      <alignment horizontal="center"/>
    </xf>
    <xf numFmtId="172" fontId="3" fillId="0" borderId="0" xfId="0" applyNumberFormat="1" applyFont="1" applyAlignment="1">
      <alignment/>
    </xf>
    <xf numFmtId="0" fontId="9" fillId="33" borderId="17" xfId="0" applyFont="1" applyFill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9" fillId="33" borderId="13" xfId="0" applyFont="1" applyFill="1" applyBorder="1" applyAlignment="1">
      <alignment vertical="top" wrapText="1"/>
    </xf>
    <xf numFmtId="0" fontId="9" fillId="0" borderId="17" xfId="0" applyFont="1" applyBorder="1" applyAlignment="1">
      <alignment horizontal="justify" vertical="top" wrapText="1"/>
    </xf>
    <xf numFmtId="172" fontId="12" fillId="37" borderId="10" xfId="0" applyNumberFormat="1" applyFont="1" applyFill="1" applyBorder="1" applyAlignment="1">
      <alignment horizontal="center"/>
    </xf>
    <xf numFmtId="172" fontId="9" fillId="44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172" fontId="12" fillId="44" borderId="10" xfId="0" applyNumberFormat="1" applyFont="1" applyFill="1" applyBorder="1" applyAlignment="1">
      <alignment horizontal="center"/>
    </xf>
    <xf numFmtId="172" fontId="12" fillId="41" borderId="10" xfId="0" applyNumberFormat="1" applyFont="1" applyFill="1" applyBorder="1" applyAlignment="1">
      <alignment horizontal="center"/>
    </xf>
    <xf numFmtId="3" fontId="12" fillId="41" borderId="10" xfId="0" applyNumberFormat="1" applyFont="1" applyFill="1" applyBorder="1" applyAlignment="1">
      <alignment horizontal="center"/>
    </xf>
    <xf numFmtId="172" fontId="9" fillId="37" borderId="10" xfId="0" applyNumberFormat="1" applyFont="1" applyFill="1" applyBorder="1" applyAlignment="1">
      <alignment horizontal="center"/>
    </xf>
    <xf numFmtId="173" fontId="12" fillId="37" borderId="10" xfId="0" applyNumberFormat="1" applyFont="1" applyFill="1" applyBorder="1" applyAlignment="1">
      <alignment horizontal="center"/>
    </xf>
    <xf numFmtId="173" fontId="9" fillId="0" borderId="10" xfId="0" applyNumberFormat="1" applyFont="1" applyBorder="1" applyAlignment="1">
      <alignment horizontal="center"/>
    </xf>
    <xf numFmtId="173" fontId="12" fillId="46" borderId="10" xfId="0" applyNumberFormat="1" applyFont="1" applyFill="1" applyBorder="1" applyAlignment="1">
      <alignment horizontal="center"/>
    </xf>
    <xf numFmtId="173" fontId="9" fillId="46" borderId="10" xfId="0" applyNumberFormat="1" applyFont="1" applyFill="1" applyBorder="1" applyAlignment="1">
      <alignment horizontal="center"/>
    </xf>
    <xf numFmtId="173" fontId="12" fillId="44" borderId="10" xfId="0" applyNumberFormat="1" applyFont="1" applyFill="1" applyBorder="1" applyAlignment="1">
      <alignment horizontal="center"/>
    </xf>
    <xf numFmtId="173" fontId="12" fillId="39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82" fillId="0" borderId="0" xfId="0" applyFont="1" applyAlignment="1">
      <alignment/>
    </xf>
    <xf numFmtId="0" fontId="83" fillId="0" borderId="10" xfId="0" applyFont="1" applyBorder="1" applyAlignment="1">
      <alignment vertical="top" wrapText="1"/>
    </xf>
    <xf numFmtId="0" fontId="83" fillId="0" borderId="10" xfId="0" applyFont="1" applyBorder="1" applyAlignment="1">
      <alignment/>
    </xf>
    <xf numFmtId="174" fontId="9" fillId="0" borderId="10" xfId="61" applyNumberFormat="1" applyFont="1" applyBorder="1" applyAlignment="1">
      <alignment/>
    </xf>
    <xf numFmtId="2" fontId="83" fillId="0" borderId="10" xfId="0" applyNumberFormat="1" applyFont="1" applyBorder="1" applyAlignment="1">
      <alignment/>
    </xf>
    <xf numFmtId="0" fontId="84" fillId="0" borderId="0" xfId="0" applyFont="1" applyAlignment="1">
      <alignment/>
    </xf>
    <xf numFmtId="0" fontId="82" fillId="0" borderId="0" xfId="0" applyFont="1" applyAlignment="1">
      <alignment vertical="top"/>
    </xf>
    <xf numFmtId="0" fontId="0" fillId="0" borderId="0" xfId="0" applyAlignment="1">
      <alignment vertical="top"/>
    </xf>
    <xf numFmtId="0" fontId="85" fillId="0" borderId="10" xfId="0" applyFont="1" applyBorder="1" applyAlignment="1">
      <alignment vertical="top" wrapText="1"/>
    </xf>
    <xf numFmtId="2" fontId="83" fillId="0" borderId="11" xfId="0" applyNumberFormat="1" applyFont="1" applyBorder="1" applyAlignment="1">
      <alignment/>
    </xf>
    <xf numFmtId="0" fontId="86" fillId="0" borderId="10" xfId="0" applyFont="1" applyBorder="1" applyAlignment="1">
      <alignment vertical="top" wrapText="1"/>
    </xf>
    <xf numFmtId="0" fontId="83" fillId="0" borderId="12" xfId="0" applyFont="1" applyBorder="1" applyAlignment="1">
      <alignment horizontal="center" vertical="top" wrapText="1"/>
    </xf>
    <xf numFmtId="2" fontId="86" fillId="0" borderId="10" xfId="0" applyNumberFormat="1" applyFont="1" applyBorder="1" applyAlignment="1">
      <alignment horizontal="center" vertical="top" wrapText="1"/>
    </xf>
    <xf numFmtId="0" fontId="85" fillId="0" borderId="12" xfId="0" applyFont="1" applyBorder="1" applyAlignment="1">
      <alignment horizontal="center" vertical="top" wrapText="1"/>
    </xf>
    <xf numFmtId="173" fontId="9" fillId="0" borderId="10" xfId="0" applyNumberFormat="1" applyFont="1" applyBorder="1" applyAlignment="1">
      <alignment horizontal="center" vertical="center" wrapText="1"/>
    </xf>
    <xf numFmtId="2" fontId="85" fillId="0" borderId="10" xfId="0" applyNumberFormat="1" applyFont="1" applyBorder="1" applyAlignment="1">
      <alignment horizontal="center" vertical="top" wrapText="1"/>
    </xf>
    <xf numFmtId="2" fontId="87" fillId="0" borderId="10" xfId="0" applyNumberFormat="1" applyFont="1" applyBorder="1" applyAlignment="1">
      <alignment horizontal="center" vertical="top" wrapText="1"/>
    </xf>
    <xf numFmtId="173" fontId="9" fillId="0" borderId="12" xfId="0" applyNumberFormat="1" applyFont="1" applyBorder="1" applyAlignment="1">
      <alignment horizontal="center" vertical="center" wrapText="1"/>
    </xf>
    <xf numFmtId="2" fontId="88" fillId="0" borderId="10" xfId="0" applyNumberFormat="1" applyFont="1" applyBorder="1" applyAlignment="1">
      <alignment horizontal="center" vertical="top" wrapText="1"/>
    </xf>
    <xf numFmtId="0" fontId="88" fillId="0" borderId="10" xfId="0" applyFont="1" applyBorder="1" applyAlignment="1">
      <alignment horizontal="center" vertical="top" wrapText="1"/>
    </xf>
    <xf numFmtId="0" fontId="87" fillId="0" borderId="12" xfId="0" applyFont="1" applyBorder="1" applyAlignment="1">
      <alignment horizontal="center" vertical="top" wrapText="1"/>
    </xf>
    <xf numFmtId="0" fontId="83" fillId="0" borderId="17" xfId="0" applyFont="1" applyBorder="1" applyAlignment="1">
      <alignment horizontal="center" vertical="top" wrapText="1"/>
    </xf>
    <xf numFmtId="2" fontId="83" fillId="0" borderId="10" xfId="0" applyNumberFormat="1" applyFont="1" applyBorder="1" applyAlignment="1">
      <alignment horizontal="center" vertical="top" wrapText="1"/>
    </xf>
    <xf numFmtId="3" fontId="89" fillId="33" borderId="10" xfId="61" applyNumberFormat="1" applyFont="1" applyFill="1" applyBorder="1" applyAlignment="1">
      <alignment horizontal="center" vertical="center"/>
    </xf>
    <xf numFmtId="3" fontId="90" fillId="33" borderId="10" xfId="61" applyNumberFormat="1" applyFont="1" applyFill="1" applyBorder="1" applyAlignment="1">
      <alignment horizontal="center" vertical="center"/>
    </xf>
    <xf numFmtId="175" fontId="89" fillId="33" borderId="10" xfId="61" applyNumberFormat="1" applyFont="1" applyFill="1" applyBorder="1" applyAlignment="1">
      <alignment horizontal="center" vertical="center"/>
    </xf>
    <xf numFmtId="175" fontId="90" fillId="33" borderId="10" xfId="61" applyNumberFormat="1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top" wrapText="1"/>
    </xf>
    <xf numFmtId="174" fontId="9" fillId="0" borderId="10" xfId="61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 vertical="top" wrapText="1"/>
    </xf>
    <xf numFmtId="173" fontId="12" fillId="0" borderId="10" xfId="0" applyNumberFormat="1" applyFont="1" applyBorder="1" applyAlignment="1">
      <alignment horizontal="center" vertical="top" wrapText="1"/>
    </xf>
    <xf numFmtId="2" fontId="12" fillId="0" borderId="15" xfId="0" applyNumberFormat="1" applyFont="1" applyBorder="1" applyAlignment="1">
      <alignment horizontal="center" vertical="top" wrapText="1"/>
    </xf>
    <xf numFmtId="175" fontId="9" fillId="0" borderId="10" xfId="61" applyNumberFormat="1" applyFont="1" applyBorder="1" applyAlignment="1">
      <alignment horizontal="center"/>
    </xf>
    <xf numFmtId="175" fontId="89" fillId="0" borderId="10" xfId="61" applyNumberFormat="1" applyFont="1" applyBorder="1" applyAlignment="1">
      <alignment horizontal="center"/>
    </xf>
    <xf numFmtId="175" fontId="83" fillId="0" borderId="10" xfId="61" applyNumberFormat="1" applyFont="1" applyBorder="1" applyAlignment="1">
      <alignment horizontal="center"/>
    </xf>
    <xf numFmtId="174" fontId="83" fillId="0" borderId="10" xfId="61" applyNumberFormat="1" applyFont="1" applyBorder="1" applyAlignment="1">
      <alignment horizontal="center"/>
    </xf>
    <xf numFmtId="1" fontId="9" fillId="0" borderId="0" xfId="0" applyNumberFormat="1" applyFont="1" applyAlignment="1">
      <alignment/>
    </xf>
    <xf numFmtId="173" fontId="12" fillId="41" borderId="10" xfId="0" applyNumberFormat="1" applyFont="1" applyFill="1" applyBorder="1" applyAlignment="1">
      <alignment horizontal="center"/>
    </xf>
    <xf numFmtId="183" fontId="9" fillId="0" borderId="0" xfId="0" applyNumberFormat="1" applyFont="1" applyAlignment="1">
      <alignment/>
    </xf>
    <xf numFmtId="173" fontId="9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18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9" fillId="41" borderId="17" xfId="0" applyFont="1" applyFill="1" applyBorder="1" applyAlignment="1">
      <alignment horizontal="center" vertical="top" wrapText="1"/>
    </xf>
    <xf numFmtId="0" fontId="9" fillId="41" borderId="16" xfId="0" applyFont="1" applyFill="1" applyBorder="1" applyAlignment="1">
      <alignment horizontal="center" vertical="top" wrapText="1"/>
    </xf>
    <xf numFmtId="0" fontId="9" fillId="41" borderId="13" xfId="0" applyFont="1" applyFill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10" fillId="45" borderId="17" xfId="0" applyFont="1" applyFill="1" applyBorder="1" applyAlignment="1">
      <alignment horizontal="center" vertical="top" wrapText="1"/>
    </xf>
    <xf numFmtId="0" fontId="8" fillId="45" borderId="16" xfId="0" applyFont="1" applyFill="1" applyBorder="1" applyAlignment="1">
      <alignment horizontal="center" vertical="top" wrapText="1"/>
    </xf>
    <xf numFmtId="0" fontId="8" fillId="45" borderId="13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44" borderId="10" xfId="0" applyFont="1" applyFill="1" applyBorder="1" applyAlignment="1">
      <alignment horizontal="center" vertical="top" wrapText="1"/>
    </xf>
    <xf numFmtId="0" fontId="12" fillId="38" borderId="17" xfId="0" applyFont="1" applyFill="1" applyBorder="1" applyAlignment="1">
      <alignment horizontal="center" vertical="top" wrapText="1"/>
    </xf>
    <xf numFmtId="0" fontId="12" fillId="38" borderId="13" xfId="0" applyFont="1" applyFill="1" applyBorder="1" applyAlignment="1">
      <alignment horizontal="center" vertical="top" wrapText="1"/>
    </xf>
    <xf numFmtId="0" fontId="9" fillId="37" borderId="10" xfId="0" applyFont="1" applyFill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38" borderId="12" xfId="0" applyFont="1" applyFill="1" applyBorder="1" applyAlignment="1">
      <alignment horizontal="center" vertical="top" wrapText="1"/>
    </xf>
    <xf numFmtId="0" fontId="9" fillId="38" borderId="14" xfId="0" applyFont="1" applyFill="1" applyBorder="1" applyAlignment="1">
      <alignment horizontal="center" vertical="top" wrapText="1"/>
    </xf>
    <xf numFmtId="0" fontId="9" fillId="0" borderId="21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34" borderId="10" xfId="0" applyFont="1" applyFill="1" applyBorder="1" applyAlignment="1">
      <alignment horizontal="center" vertical="top" wrapText="1"/>
    </xf>
    <xf numFmtId="0" fontId="9" fillId="37" borderId="12" xfId="0" applyFont="1" applyFill="1" applyBorder="1" applyAlignment="1">
      <alignment horizontal="center" vertical="top" wrapText="1"/>
    </xf>
    <xf numFmtId="0" fontId="9" fillId="37" borderId="14" xfId="0" applyFont="1" applyFill="1" applyBorder="1" applyAlignment="1">
      <alignment horizontal="center" vertical="top" wrapText="1"/>
    </xf>
    <xf numFmtId="0" fontId="9" fillId="37" borderId="15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12" fillId="37" borderId="17" xfId="0" applyFont="1" applyFill="1" applyBorder="1" applyAlignment="1">
      <alignment horizontal="center" vertical="top" wrapText="1"/>
    </xf>
    <xf numFmtId="0" fontId="12" fillId="37" borderId="13" xfId="0" applyFont="1" applyFill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78" fillId="0" borderId="17" xfId="0" applyFont="1" applyBorder="1" applyAlignment="1">
      <alignment horizontal="center" vertical="top" wrapText="1"/>
    </xf>
    <xf numFmtId="0" fontId="78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79" fillId="0" borderId="17" xfId="0" applyFont="1" applyBorder="1" applyAlignment="1">
      <alignment horizontal="center" vertical="top" wrapText="1"/>
    </xf>
    <xf numFmtId="0" fontId="79" fillId="0" borderId="13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79" fillId="0" borderId="12" xfId="0" applyFont="1" applyBorder="1" applyAlignment="1">
      <alignment horizontal="center" vertical="top" wrapText="1"/>
    </xf>
    <xf numFmtId="0" fontId="79" fillId="0" borderId="14" xfId="0" applyFont="1" applyBorder="1" applyAlignment="1">
      <alignment horizontal="center" vertical="top" wrapText="1"/>
    </xf>
    <xf numFmtId="0" fontId="79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8" fillId="34" borderId="10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44" borderId="10" xfId="0" applyFont="1" applyFill="1" applyBorder="1" applyAlignment="1">
      <alignment horizontal="center" vertical="top" wrapText="1"/>
    </xf>
    <xf numFmtId="0" fontId="10" fillId="39" borderId="10" xfId="0" applyFont="1" applyFill="1" applyBorder="1" applyAlignment="1">
      <alignment horizontal="center" vertical="top" wrapText="1"/>
    </xf>
    <xf numFmtId="0" fontId="8" fillId="37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0" fillId="38" borderId="17" xfId="0" applyFont="1" applyFill="1" applyBorder="1" applyAlignment="1">
      <alignment horizontal="center" vertical="top" wrapText="1"/>
    </xf>
    <xf numFmtId="0" fontId="10" fillId="38" borderId="13" xfId="0" applyFont="1" applyFill="1" applyBorder="1" applyAlignment="1">
      <alignment horizontal="center" vertical="top" wrapText="1"/>
    </xf>
    <xf numFmtId="0" fontId="78" fillId="0" borderId="12" xfId="0" applyFont="1" applyBorder="1" applyAlignment="1">
      <alignment horizontal="center" vertical="top" wrapText="1"/>
    </xf>
    <xf numFmtId="0" fontId="78" fillId="0" borderId="14" xfId="0" applyFont="1" applyBorder="1" applyAlignment="1">
      <alignment horizontal="center" vertical="top" wrapText="1"/>
    </xf>
    <xf numFmtId="0" fontId="78" fillId="0" borderId="15" xfId="0" applyFont="1" applyBorder="1" applyAlignment="1">
      <alignment horizontal="center" vertical="top" wrapText="1"/>
    </xf>
    <xf numFmtId="0" fontId="8" fillId="44" borderId="10" xfId="0" applyFont="1" applyFill="1" applyBorder="1" applyAlignment="1">
      <alignment horizontal="center" vertical="top" wrapText="1"/>
    </xf>
    <xf numFmtId="0" fontId="3" fillId="41" borderId="10" xfId="0" applyFont="1" applyFill="1" applyBorder="1" applyAlignment="1">
      <alignment horizontal="center" vertical="top" wrapText="1"/>
    </xf>
    <xf numFmtId="0" fontId="21" fillId="37" borderId="12" xfId="0" applyFont="1" applyFill="1" applyBorder="1" applyAlignment="1">
      <alignment horizontal="center" vertical="top" wrapText="1"/>
    </xf>
    <xf numFmtId="0" fontId="21" fillId="37" borderId="14" xfId="0" applyFont="1" applyFill="1" applyBorder="1" applyAlignment="1">
      <alignment horizontal="center" vertical="top" wrapText="1"/>
    </xf>
    <xf numFmtId="0" fontId="21" fillId="37" borderId="15" xfId="0" applyFont="1" applyFill="1" applyBorder="1" applyAlignment="1">
      <alignment horizontal="center" vertical="top" wrapText="1"/>
    </xf>
    <xf numFmtId="0" fontId="21" fillId="38" borderId="12" xfId="0" applyFont="1" applyFill="1" applyBorder="1" applyAlignment="1">
      <alignment horizontal="center" vertical="top" wrapText="1"/>
    </xf>
    <xf numFmtId="0" fontId="21" fillId="38" borderId="14" xfId="0" applyFont="1" applyFill="1" applyBorder="1" applyAlignment="1">
      <alignment horizontal="center" vertical="top" wrapText="1"/>
    </xf>
    <xf numFmtId="0" fontId="10" fillId="41" borderId="17" xfId="0" applyFont="1" applyFill="1" applyBorder="1" applyAlignment="1">
      <alignment horizontal="center" vertical="top" wrapText="1"/>
    </xf>
    <xf numFmtId="0" fontId="8" fillId="41" borderId="16" xfId="0" applyFont="1" applyFill="1" applyBorder="1" applyAlignment="1">
      <alignment horizontal="center" vertical="top" wrapText="1"/>
    </xf>
    <xf numFmtId="0" fontId="8" fillId="41" borderId="13" xfId="0" applyFont="1" applyFill="1" applyBorder="1" applyAlignment="1">
      <alignment horizontal="center" vertical="top" wrapText="1"/>
    </xf>
    <xf numFmtId="0" fontId="10" fillId="37" borderId="17" xfId="0" applyFont="1" applyFill="1" applyBorder="1" applyAlignment="1">
      <alignment horizontal="center" vertical="top" wrapText="1"/>
    </xf>
    <xf numFmtId="0" fontId="10" fillId="37" borderId="13" xfId="0" applyFont="1" applyFill="1" applyBorder="1" applyAlignment="1">
      <alignment horizontal="center" vertical="top" wrapText="1"/>
    </xf>
    <xf numFmtId="0" fontId="3" fillId="41" borderId="17" xfId="0" applyFont="1" applyFill="1" applyBorder="1" applyAlignment="1">
      <alignment horizontal="center" vertical="top" wrapText="1"/>
    </xf>
    <xf numFmtId="0" fontId="3" fillId="41" borderId="13" xfId="0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0" fillId="33" borderId="17" xfId="0" applyFont="1" applyFill="1" applyBorder="1" applyAlignment="1">
      <alignment horizontal="center" vertical="top" wrapText="1"/>
    </xf>
    <xf numFmtId="0" fontId="10" fillId="33" borderId="16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horizontal="center" vertical="top" wrapText="1"/>
    </xf>
    <xf numFmtId="0" fontId="77" fillId="0" borderId="12" xfId="0" applyFont="1" applyBorder="1" applyAlignment="1">
      <alignment horizontal="center" vertical="top" wrapText="1"/>
    </xf>
    <xf numFmtId="0" fontId="77" fillId="0" borderId="14" xfId="0" applyFont="1" applyBorder="1" applyAlignment="1">
      <alignment horizontal="center" vertical="top" wrapText="1"/>
    </xf>
    <xf numFmtId="0" fontId="77" fillId="0" borderId="15" xfId="0" applyFont="1" applyBorder="1" applyAlignment="1">
      <alignment horizontal="center" vertical="top" wrapText="1"/>
    </xf>
    <xf numFmtId="0" fontId="8" fillId="43" borderId="10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0" fontId="9" fillId="38" borderId="15" xfId="0" applyFont="1" applyFill="1" applyBorder="1" applyAlignment="1">
      <alignment horizontal="center" vertical="top" wrapText="1"/>
    </xf>
    <xf numFmtId="0" fontId="9" fillId="39" borderId="17" xfId="0" applyFont="1" applyFill="1" applyBorder="1" applyAlignment="1">
      <alignment horizontal="center" vertical="top" wrapText="1"/>
    </xf>
    <xf numFmtId="0" fontId="9" fillId="39" borderId="16" xfId="0" applyFont="1" applyFill="1" applyBorder="1" applyAlignment="1">
      <alignment horizontal="center" vertical="top" wrapText="1"/>
    </xf>
    <xf numFmtId="0" fontId="9" fillId="39" borderId="13" xfId="0" applyFont="1" applyFill="1" applyBorder="1" applyAlignment="1">
      <alignment horizontal="center" vertical="top" wrapText="1"/>
    </xf>
    <xf numFmtId="0" fontId="9" fillId="34" borderId="17" xfId="0" applyFont="1" applyFill="1" applyBorder="1" applyAlignment="1">
      <alignment horizontal="center" vertical="top" wrapText="1"/>
    </xf>
    <xf numFmtId="0" fontId="9" fillId="34" borderId="13" xfId="0" applyFont="1" applyFill="1" applyBorder="1" applyAlignment="1">
      <alignment horizontal="center" vertical="top" wrapText="1"/>
    </xf>
    <xf numFmtId="0" fontId="12" fillId="39" borderId="17" xfId="0" applyFont="1" applyFill="1" applyBorder="1" applyAlignment="1">
      <alignment horizontal="center" vertical="top" wrapText="1"/>
    </xf>
    <xf numFmtId="0" fontId="12" fillId="39" borderId="16" xfId="0" applyFont="1" applyFill="1" applyBorder="1" applyAlignment="1">
      <alignment horizontal="center" vertical="top" wrapText="1"/>
    </xf>
    <xf numFmtId="0" fontId="12" fillId="39" borderId="13" xfId="0" applyFont="1" applyFill="1" applyBorder="1" applyAlignment="1">
      <alignment horizontal="center" vertical="top" wrapText="1"/>
    </xf>
    <xf numFmtId="0" fontId="12" fillId="33" borderId="17" xfId="0" applyFont="1" applyFill="1" applyBorder="1" applyAlignment="1">
      <alignment horizontal="center" vertical="top" wrapText="1"/>
    </xf>
    <xf numFmtId="0" fontId="12" fillId="33" borderId="16" xfId="0" applyFont="1" applyFill="1" applyBorder="1" applyAlignment="1">
      <alignment horizontal="center" vertical="top" wrapText="1"/>
    </xf>
    <xf numFmtId="0" fontId="12" fillId="33" borderId="13" xfId="0" applyFont="1" applyFill="1" applyBorder="1" applyAlignment="1">
      <alignment horizontal="center" vertical="top" wrapText="1"/>
    </xf>
    <xf numFmtId="0" fontId="9" fillId="44" borderId="17" xfId="0" applyFont="1" applyFill="1" applyBorder="1" applyAlignment="1">
      <alignment horizontal="center" vertical="top" wrapText="1"/>
    </xf>
    <xf numFmtId="0" fontId="9" fillId="44" borderId="13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7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justify" vertical="top" wrapText="1"/>
    </xf>
    <xf numFmtId="0" fontId="9" fillId="37" borderId="17" xfId="0" applyFont="1" applyFill="1" applyBorder="1" applyAlignment="1">
      <alignment horizontal="center" vertical="top" wrapText="1"/>
    </xf>
    <xf numFmtId="0" fontId="9" fillId="37" borderId="13" xfId="0" applyFont="1" applyFill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justify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horizontal="justify" vertical="top" wrapText="1"/>
    </xf>
    <xf numFmtId="0" fontId="82" fillId="0" borderId="0" xfId="0" applyFont="1" applyAlignment="1">
      <alignment horizontal="center" vertical="top" wrapText="1"/>
    </xf>
    <xf numFmtId="0" fontId="91" fillId="37" borderId="10" xfId="0" applyFont="1" applyFill="1" applyBorder="1" applyAlignment="1">
      <alignment horizontal="center"/>
    </xf>
    <xf numFmtId="0" fontId="12" fillId="0" borderId="12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83" fillId="0" borderId="17" xfId="0" applyFont="1" applyBorder="1" applyAlignment="1">
      <alignment horizontal="center" vertical="top" wrapText="1"/>
    </xf>
    <xf numFmtId="0" fontId="83" fillId="0" borderId="16" xfId="0" applyFont="1" applyBorder="1" applyAlignment="1">
      <alignment horizontal="center" vertical="top" wrapText="1"/>
    </xf>
    <xf numFmtId="0" fontId="83" fillId="0" borderId="13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2" fontId="83" fillId="0" borderId="12" xfId="0" applyNumberFormat="1" applyFont="1" applyBorder="1" applyAlignment="1">
      <alignment horizontal="center" vertical="top" wrapText="1"/>
    </xf>
    <xf numFmtId="2" fontId="83" fillId="0" borderId="14" xfId="0" applyNumberFormat="1" applyFont="1" applyBorder="1" applyAlignment="1">
      <alignment horizontal="center" vertical="top" wrapText="1"/>
    </xf>
    <xf numFmtId="2" fontId="83" fillId="0" borderId="15" xfId="0" applyNumberFormat="1" applyFont="1" applyBorder="1" applyAlignment="1">
      <alignment horizontal="center" vertical="top" wrapText="1"/>
    </xf>
    <xf numFmtId="173" fontId="9" fillId="0" borderId="17" xfId="0" applyNumberFormat="1" applyFont="1" applyBorder="1" applyAlignment="1">
      <alignment horizontal="center" vertical="center" wrapText="1"/>
    </xf>
    <xf numFmtId="173" fontId="9" fillId="0" borderId="13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top"/>
    </xf>
    <xf numFmtId="2" fontId="91" fillId="37" borderId="10" xfId="0" applyNumberFormat="1" applyFont="1" applyFill="1" applyBorder="1" applyAlignment="1">
      <alignment horizontal="center"/>
    </xf>
    <xf numFmtId="2" fontId="83" fillId="0" borderId="17" xfId="0" applyNumberFormat="1" applyFont="1" applyBorder="1" applyAlignment="1">
      <alignment horizontal="center" vertical="top" wrapText="1"/>
    </xf>
    <xf numFmtId="2" fontId="83" fillId="0" borderId="13" xfId="0" applyNumberFormat="1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Финансовый 3" xfId="62"/>
    <cellStyle name="Финансовый 4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" name="Picture 1" descr="Герб РО (BMP) 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BX27"/>
  <sheetViews>
    <sheetView view="pageBreakPreview" zoomScale="80" zoomScaleSheetLayoutView="80" zoomScalePageLayoutView="0" workbookViewId="0" topLeftCell="P1">
      <selection activeCell="Q4" sqref="Q4:S4"/>
    </sheetView>
  </sheetViews>
  <sheetFormatPr defaultColWidth="9.125" defaultRowHeight="12.75"/>
  <cols>
    <col min="1" max="1" width="18.375" style="133" customWidth="1"/>
    <col min="2" max="2" width="15.50390625" style="133" hidden="1" customWidth="1"/>
    <col min="3" max="3" width="9.625" style="133" hidden="1" customWidth="1"/>
    <col min="4" max="4" width="14.875" style="133" hidden="1" customWidth="1"/>
    <col min="5" max="5" width="11.875" style="133" hidden="1" customWidth="1"/>
    <col min="6" max="6" width="2.375" style="133" hidden="1" customWidth="1"/>
    <col min="7" max="7" width="15.50390625" style="133" hidden="1" customWidth="1"/>
    <col min="8" max="8" width="15.00390625" style="133" hidden="1" customWidth="1"/>
    <col min="9" max="9" width="14.00390625" style="133" hidden="1" customWidth="1"/>
    <col min="10" max="10" width="12.875" style="133" hidden="1" customWidth="1"/>
    <col min="11" max="11" width="10.50390625" style="133" hidden="1" customWidth="1"/>
    <col min="12" max="12" width="12.875" style="133" hidden="1" customWidth="1"/>
    <col min="13" max="13" width="18.50390625" style="133" hidden="1" customWidth="1"/>
    <col min="14" max="14" width="11.50390625" style="133" hidden="1" customWidth="1"/>
    <col min="15" max="15" width="0.2421875" style="133" hidden="1" customWidth="1"/>
    <col min="16" max="16" width="10.125" style="133" customWidth="1"/>
    <col min="17" max="17" width="0.12890625" style="133" customWidth="1"/>
    <col min="18" max="19" width="9.125" style="133" hidden="1" customWidth="1"/>
    <col min="20" max="20" width="0.6171875" style="133" hidden="1" customWidth="1"/>
    <col min="21" max="22" width="9.125" style="133" hidden="1" customWidth="1"/>
    <col min="23" max="23" width="13.625" style="133" hidden="1" customWidth="1"/>
    <col min="24" max="25" width="9.125" style="133" hidden="1" customWidth="1"/>
    <col min="26" max="26" width="14.125" style="133" hidden="1" customWidth="1"/>
    <col min="27" max="29" width="9.125" style="133" hidden="1" customWidth="1"/>
    <col min="30" max="30" width="8.625" style="133" hidden="1" customWidth="1"/>
    <col min="31" max="43" width="9.125" style="133" hidden="1" customWidth="1"/>
    <col min="44" max="44" width="6.50390625" style="133" hidden="1" customWidth="1"/>
    <col min="45" max="48" width="9.125" style="133" hidden="1" customWidth="1"/>
    <col min="49" max="49" width="12.00390625" style="133" hidden="1" customWidth="1"/>
    <col min="50" max="50" width="17.50390625" style="133" hidden="1" customWidth="1"/>
    <col min="51" max="51" width="0.37109375" style="133" hidden="1" customWidth="1"/>
    <col min="52" max="52" width="13.75390625" style="133" hidden="1" customWidth="1"/>
    <col min="53" max="53" width="13.125" style="133" hidden="1" customWidth="1"/>
    <col min="54" max="54" width="13.25390625" style="133" hidden="1" customWidth="1"/>
    <col min="55" max="55" width="11.375" style="133" hidden="1" customWidth="1"/>
    <col min="56" max="56" width="6.125" style="133" hidden="1" customWidth="1"/>
    <col min="57" max="57" width="9.125" style="133" hidden="1" customWidth="1"/>
    <col min="58" max="58" width="9.00390625" style="133" hidden="1" customWidth="1"/>
    <col min="59" max="59" width="9.125" style="133" hidden="1" customWidth="1"/>
    <col min="60" max="60" width="11.50390625" style="133" hidden="1" customWidth="1"/>
    <col min="61" max="61" width="16.75390625" style="133" hidden="1" customWidth="1"/>
    <col min="62" max="62" width="13.75390625" style="133" customWidth="1"/>
    <col min="63" max="63" width="12.875" style="133" customWidth="1"/>
    <col min="64" max="64" width="13.50390625" style="133" customWidth="1"/>
    <col min="65" max="65" width="13.75390625" style="133" customWidth="1"/>
    <col min="66" max="66" width="14.00390625" style="133" customWidth="1"/>
    <col min="67" max="67" width="14.375" style="133" customWidth="1"/>
    <col min="68" max="68" width="11.50390625" style="133" customWidth="1"/>
    <col min="69" max="69" width="12.375" style="133" customWidth="1"/>
    <col min="70" max="70" width="12.75390625" style="133" customWidth="1"/>
    <col min="71" max="71" width="13.375" style="133" customWidth="1"/>
    <col min="72" max="72" width="15.875" style="133" customWidth="1"/>
    <col min="73" max="73" width="12.50390625" style="133" customWidth="1"/>
    <col min="74" max="16384" width="9.125" style="133" customWidth="1"/>
  </cols>
  <sheetData>
    <row r="1" ht="18">
      <c r="A1" s="130" t="s">
        <v>181</v>
      </c>
    </row>
    <row r="2" ht="12.75">
      <c r="BU2" s="134"/>
    </row>
    <row r="3" spans="1:76" ht="74.25" customHeight="1">
      <c r="A3" s="257" t="s">
        <v>187</v>
      </c>
      <c r="P3" s="257" t="s">
        <v>165</v>
      </c>
      <c r="Q3" s="280" t="s">
        <v>121</v>
      </c>
      <c r="R3" s="281"/>
      <c r="S3" s="281"/>
      <c r="T3" s="281"/>
      <c r="U3" s="281"/>
      <c r="V3" s="281"/>
      <c r="W3" s="281"/>
      <c r="X3" s="281"/>
      <c r="Y3" s="281"/>
      <c r="Z3" s="282"/>
      <c r="AA3" s="274" t="s">
        <v>122</v>
      </c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  <c r="AU3" s="275"/>
      <c r="AV3" s="132"/>
      <c r="AW3" s="135"/>
      <c r="AX3" s="260" t="s">
        <v>166</v>
      </c>
      <c r="AY3" s="267" t="s">
        <v>124</v>
      </c>
      <c r="AZ3" s="267"/>
      <c r="BA3" s="267"/>
      <c r="BB3" s="267"/>
      <c r="BC3" s="264" t="s">
        <v>125</v>
      </c>
      <c r="BD3" s="264"/>
      <c r="BE3" s="264"/>
      <c r="BF3" s="264"/>
      <c r="BG3" s="264"/>
      <c r="BH3" s="264"/>
      <c r="BI3" s="279" t="s">
        <v>57</v>
      </c>
      <c r="BJ3" s="267" t="s">
        <v>58</v>
      </c>
      <c r="BK3" s="267"/>
      <c r="BL3" s="267"/>
      <c r="BM3" s="267"/>
      <c r="BN3" s="264" t="s">
        <v>59</v>
      </c>
      <c r="BO3" s="264"/>
      <c r="BP3" s="264"/>
      <c r="BQ3" s="264"/>
      <c r="BR3" s="264"/>
      <c r="BS3" s="264"/>
      <c r="BT3" s="254" t="s">
        <v>167</v>
      </c>
      <c r="BU3" s="257" t="s">
        <v>168</v>
      </c>
      <c r="BV3" s="136"/>
      <c r="BW3" s="136"/>
      <c r="BX3" s="136"/>
    </row>
    <row r="4" spans="1:76" ht="131.25" customHeight="1">
      <c r="A4" s="258"/>
      <c r="P4" s="259"/>
      <c r="Q4" s="276" t="s">
        <v>136</v>
      </c>
      <c r="R4" s="277"/>
      <c r="S4" s="278"/>
      <c r="T4" s="271" t="s">
        <v>61</v>
      </c>
      <c r="U4" s="272"/>
      <c r="V4" s="272"/>
      <c r="W4" s="263" t="s">
        <v>62</v>
      </c>
      <c r="X4" s="263"/>
      <c r="Y4" s="263"/>
      <c r="Z4" s="284" t="s">
        <v>137</v>
      </c>
      <c r="AA4" s="257" t="s">
        <v>63</v>
      </c>
      <c r="AB4" s="271" t="s">
        <v>64</v>
      </c>
      <c r="AC4" s="272"/>
      <c r="AD4" s="272"/>
      <c r="AE4" s="272"/>
      <c r="AF4" s="272"/>
      <c r="AG4" s="272"/>
      <c r="AH4" s="272"/>
      <c r="AI4" s="273"/>
      <c r="AJ4" s="271" t="s">
        <v>65</v>
      </c>
      <c r="AK4" s="272"/>
      <c r="AL4" s="272"/>
      <c r="AM4" s="273"/>
      <c r="AN4" s="257" t="s">
        <v>169</v>
      </c>
      <c r="AO4" s="257" t="s">
        <v>170</v>
      </c>
      <c r="AP4" s="257" t="s">
        <v>66</v>
      </c>
      <c r="AQ4" s="268" t="s">
        <v>69</v>
      </c>
      <c r="AR4" s="269"/>
      <c r="AS4" s="270"/>
      <c r="AT4" s="286" t="s">
        <v>70</v>
      </c>
      <c r="AU4" s="19" t="s">
        <v>71</v>
      </c>
      <c r="AV4" s="257" t="s">
        <v>94</v>
      </c>
      <c r="AW4" s="265" t="s">
        <v>72</v>
      </c>
      <c r="AX4" s="261"/>
      <c r="AY4" s="267" t="s">
        <v>72</v>
      </c>
      <c r="AZ4" s="263" t="s">
        <v>73</v>
      </c>
      <c r="BA4" s="263"/>
      <c r="BB4" s="263"/>
      <c r="BC4" s="264" t="s">
        <v>72</v>
      </c>
      <c r="BD4" s="263" t="s">
        <v>73</v>
      </c>
      <c r="BE4" s="263"/>
      <c r="BF4" s="263"/>
      <c r="BG4" s="263"/>
      <c r="BH4" s="263"/>
      <c r="BI4" s="279"/>
      <c r="BJ4" s="267" t="s">
        <v>72</v>
      </c>
      <c r="BK4" s="263" t="s">
        <v>73</v>
      </c>
      <c r="BL4" s="263"/>
      <c r="BM4" s="263"/>
      <c r="BN4" s="264" t="s">
        <v>72</v>
      </c>
      <c r="BO4" s="283" t="s">
        <v>73</v>
      </c>
      <c r="BP4" s="283"/>
      <c r="BQ4" s="283"/>
      <c r="BR4" s="283"/>
      <c r="BS4" s="283"/>
      <c r="BT4" s="255"/>
      <c r="BU4" s="258"/>
      <c r="BV4" s="136"/>
      <c r="BW4" s="136"/>
      <c r="BX4" s="136"/>
    </row>
    <row r="5" spans="1:76" ht="246" customHeight="1">
      <c r="A5" s="259"/>
      <c r="B5" s="186">
        <v>211</v>
      </c>
      <c r="C5" s="138">
        <v>212</v>
      </c>
      <c r="D5" s="138">
        <v>213</v>
      </c>
      <c r="E5" s="138">
        <v>221</v>
      </c>
      <c r="F5" s="138">
        <v>222</v>
      </c>
      <c r="G5" s="138">
        <v>223</v>
      </c>
      <c r="H5" s="138">
        <v>225</v>
      </c>
      <c r="I5" s="138">
        <v>226</v>
      </c>
      <c r="J5" s="139">
        <v>290</v>
      </c>
      <c r="K5" s="139">
        <v>310</v>
      </c>
      <c r="L5" s="139">
        <v>340</v>
      </c>
      <c r="M5" s="139">
        <v>800</v>
      </c>
      <c r="N5" s="140"/>
      <c r="O5" s="141" t="s">
        <v>171</v>
      </c>
      <c r="P5" s="142" t="s">
        <v>186</v>
      </c>
      <c r="Q5" s="26" t="s">
        <v>182</v>
      </c>
      <c r="R5" s="27" t="s">
        <v>183</v>
      </c>
      <c r="S5" s="27" t="s">
        <v>78</v>
      </c>
      <c r="T5" s="28" t="s">
        <v>79</v>
      </c>
      <c r="U5" s="28" t="s">
        <v>80</v>
      </c>
      <c r="V5" s="29" t="s">
        <v>81</v>
      </c>
      <c r="W5" s="19" t="s">
        <v>172</v>
      </c>
      <c r="X5" s="19" t="s">
        <v>83</v>
      </c>
      <c r="Y5" s="19" t="s">
        <v>81</v>
      </c>
      <c r="Z5" s="285"/>
      <c r="AA5" s="259"/>
      <c r="AB5" s="30" t="s">
        <v>84</v>
      </c>
      <c r="AC5" s="30" t="s">
        <v>85</v>
      </c>
      <c r="AD5" s="30" t="s">
        <v>86</v>
      </c>
      <c r="AE5" s="30" t="s">
        <v>87</v>
      </c>
      <c r="AF5" s="30" t="s">
        <v>88</v>
      </c>
      <c r="AG5" s="30" t="s">
        <v>89</v>
      </c>
      <c r="AH5" s="30" t="s">
        <v>90</v>
      </c>
      <c r="AI5" s="31" t="s">
        <v>81</v>
      </c>
      <c r="AJ5" s="30" t="s">
        <v>91</v>
      </c>
      <c r="AK5" s="30" t="s">
        <v>92</v>
      </c>
      <c r="AL5" s="30" t="s">
        <v>93</v>
      </c>
      <c r="AM5" s="31" t="s">
        <v>81</v>
      </c>
      <c r="AN5" s="259"/>
      <c r="AO5" s="259"/>
      <c r="AP5" s="259"/>
      <c r="AQ5" s="32">
        <v>211</v>
      </c>
      <c r="AR5" s="15">
        <v>213</v>
      </c>
      <c r="AS5" s="33" t="s">
        <v>78</v>
      </c>
      <c r="AT5" s="287"/>
      <c r="AU5" s="19" t="s">
        <v>173</v>
      </c>
      <c r="AV5" s="259"/>
      <c r="AW5" s="266"/>
      <c r="AX5" s="262"/>
      <c r="AY5" s="267"/>
      <c r="AZ5" s="143" t="s">
        <v>98</v>
      </c>
      <c r="BA5" s="143" t="s">
        <v>61</v>
      </c>
      <c r="BB5" s="143" t="s">
        <v>62</v>
      </c>
      <c r="BC5" s="264"/>
      <c r="BD5" s="143" t="s">
        <v>99</v>
      </c>
      <c r="BE5" s="19" t="s">
        <v>63</v>
      </c>
      <c r="BF5" s="19" t="s">
        <v>64</v>
      </c>
      <c r="BG5" s="19" t="s">
        <v>65</v>
      </c>
      <c r="BH5" s="19" t="s">
        <v>71</v>
      </c>
      <c r="BI5" s="144" t="s">
        <v>100</v>
      </c>
      <c r="BJ5" s="267"/>
      <c r="BK5" s="143" t="s">
        <v>98</v>
      </c>
      <c r="BL5" s="143" t="s">
        <v>61</v>
      </c>
      <c r="BM5" s="143" t="s">
        <v>62</v>
      </c>
      <c r="BN5" s="264"/>
      <c r="BO5" s="145" t="s">
        <v>99</v>
      </c>
      <c r="BP5" s="28" t="s">
        <v>63</v>
      </c>
      <c r="BQ5" s="28" t="s">
        <v>64</v>
      </c>
      <c r="BR5" s="28" t="s">
        <v>65</v>
      </c>
      <c r="BS5" s="28" t="s">
        <v>71</v>
      </c>
      <c r="BT5" s="256"/>
      <c r="BU5" s="259"/>
      <c r="BV5" s="136"/>
      <c r="BW5" s="136"/>
      <c r="BX5" s="136"/>
    </row>
    <row r="6" spans="1:76" ht="21">
      <c r="A6" s="15" t="s">
        <v>184</v>
      </c>
      <c r="B6" s="146">
        <v>4663.4</v>
      </c>
      <c r="C6" s="147">
        <v>1.8</v>
      </c>
      <c r="D6" s="147">
        <v>1408.3</v>
      </c>
      <c r="E6" s="148">
        <v>44.1</v>
      </c>
      <c r="F6" s="148">
        <v>0</v>
      </c>
      <c r="G6" s="148">
        <v>42.9</v>
      </c>
      <c r="H6" s="148">
        <v>33.7</v>
      </c>
      <c r="I6" s="148">
        <v>52.3</v>
      </c>
      <c r="J6" s="148">
        <v>13.3</v>
      </c>
      <c r="K6" s="148">
        <v>0</v>
      </c>
      <c r="L6" s="148">
        <v>55.6</v>
      </c>
      <c r="M6" s="149">
        <f>SUM(B6:L6)</f>
        <v>6315.400000000001</v>
      </c>
      <c r="N6" s="15" t="s">
        <v>174</v>
      </c>
      <c r="O6" s="150">
        <f>M6+M12</f>
        <v>6916.1</v>
      </c>
      <c r="P6" s="15">
        <v>1032</v>
      </c>
      <c r="Q6" s="42">
        <f>4219.8+461.4+1.8</f>
        <v>4683</v>
      </c>
      <c r="R6" s="42">
        <f>1274.3+139.3</f>
        <v>1413.6</v>
      </c>
      <c r="S6" s="43">
        <f>Q6+R6</f>
        <v>6096.6</v>
      </c>
      <c r="T6" s="44">
        <v>0</v>
      </c>
      <c r="U6" s="44">
        <v>0</v>
      </c>
      <c r="V6" s="45">
        <f>T6+U6</f>
        <v>0</v>
      </c>
      <c r="W6" s="46">
        <v>0</v>
      </c>
      <c r="X6" s="46">
        <v>9.3</v>
      </c>
      <c r="Y6" s="47">
        <f>W6+X6</f>
        <v>9.3</v>
      </c>
      <c r="Z6" s="48">
        <f>S6+V6+Y6</f>
        <v>6105.900000000001</v>
      </c>
      <c r="AA6" s="151">
        <v>42.9</v>
      </c>
      <c r="AB6" s="46">
        <v>0</v>
      </c>
      <c r="AC6" s="46">
        <v>0</v>
      </c>
      <c r="AD6" s="46">
        <f>1.6+6.5</f>
        <v>8.1</v>
      </c>
      <c r="AE6" s="46">
        <f>3.5+6.2+4.7+1.6+3.2+1.6+2.4+36.3</f>
        <v>59.5</v>
      </c>
      <c r="AF6" s="46">
        <v>0</v>
      </c>
      <c r="AG6" s="46">
        <f>1.8</f>
        <v>1.8</v>
      </c>
      <c r="AH6" s="46">
        <v>7.8</v>
      </c>
      <c r="AI6" s="47">
        <f>SUM(AB6:AH6)</f>
        <v>77.19999999999999</v>
      </c>
      <c r="AJ6" s="46">
        <v>0</v>
      </c>
      <c r="AK6" s="46">
        <v>0</v>
      </c>
      <c r="AL6" s="46">
        <v>0</v>
      </c>
      <c r="AM6" s="47">
        <f>AJ6+AK6+AL6</f>
        <v>0</v>
      </c>
      <c r="AN6" s="47">
        <v>44.1</v>
      </c>
      <c r="AO6" s="47">
        <v>8.5</v>
      </c>
      <c r="AP6" s="46">
        <v>0</v>
      </c>
      <c r="AQ6" s="152">
        <v>443.6</v>
      </c>
      <c r="AR6" s="153">
        <v>134</v>
      </c>
      <c r="AS6" s="47">
        <f>AQ6+AR6</f>
        <v>577.6</v>
      </c>
      <c r="AT6" s="46">
        <v>9.3</v>
      </c>
      <c r="AU6" s="46">
        <f>18+6+10+3.3</f>
        <v>37.3</v>
      </c>
      <c r="AV6" s="151">
        <v>13.3</v>
      </c>
      <c r="AW6" s="49">
        <f>AA6+AI6+AM6+AP6+AS6+AT6+AU6+AV6+AN6+AO6</f>
        <v>810.1999999999999</v>
      </c>
      <c r="AX6" s="154">
        <f>Z6+AW6</f>
        <v>6916.1</v>
      </c>
      <c r="AY6" s="48">
        <f>AZ6+BA6+BB6</f>
        <v>6105.900000000001</v>
      </c>
      <c r="AZ6" s="46">
        <f>S6</f>
        <v>6096.6</v>
      </c>
      <c r="BA6" s="46">
        <f>V6</f>
        <v>0</v>
      </c>
      <c r="BB6" s="46">
        <f>Y6</f>
        <v>9.3</v>
      </c>
      <c r="BC6" s="155">
        <f>BD6+BE6+BF6+BG6+BH6</f>
        <v>810.1999999999999</v>
      </c>
      <c r="BD6" s="46">
        <f>AS6</f>
        <v>577.6</v>
      </c>
      <c r="BE6" s="46">
        <f>AA6</f>
        <v>42.9</v>
      </c>
      <c r="BF6" s="46">
        <f>AI6</f>
        <v>77.19999999999999</v>
      </c>
      <c r="BG6" s="46">
        <f>AM6</f>
        <v>0</v>
      </c>
      <c r="BH6" s="46">
        <f>AW6-BD6-BE6-BF6-BG6</f>
        <v>112.49999999999991</v>
      </c>
      <c r="BI6" s="156">
        <f>P6</f>
        <v>1032</v>
      </c>
      <c r="BJ6" s="157">
        <f>BK6+BL6+BM6</f>
        <v>5.916569767441861</v>
      </c>
      <c r="BK6" s="158">
        <f>AZ6/BI6</f>
        <v>5.907558139534884</v>
      </c>
      <c r="BL6" s="158">
        <f>BA6/BI6</f>
        <v>0</v>
      </c>
      <c r="BM6" s="158">
        <f>BB6/BI6</f>
        <v>0.009011627906976745</v>
      </c>
      <c r="BN6" s="159">
        <f>BO6+BP6+BQ6+BR6+BS6</f>
        <v>0.7850775193798449</v>
      </c>
      <c r="BO6" s="158">
        <f>BD6/BI6</f>
        <v>0.5596899224806202</v>
      </c>
      <c r="BP6" s="158">
        <f>BE6/BI6</f>
        <v>0.041569767441860465</v>
      </c>
      <c r="BQ6" s="158">
        <f>BF6/BI6</f>
        <v>0.07480620155038759</v>
      </c>
      <c r="BR6" s="158">
        <f>BG6/BI6</f>
        <v>0</v>
      </c>
      <c r="BS6" s="158">
        <f>BH6/BI6</f>
        <v>0.10901162790697666</v>
      </c>
      <c r="BT6" s="160">
        <f>BJ6+BN6</f>
        <v>6.701647286821706</v>
      </c>
      <c r="BU6" s="46">
        <f>BT6*BI6</f>
        <v>6916.100000000001</v>
      </c>
      <c r="BV6" s="161">
        <f>AX6-BU6</f>
        <v>0</v>
      </c>
      <c r="BW6" s="6"/>
      <c r="BX6" s="6"/>
    </row>
    <row r="7" spans="1:76" ht="21">
      <c r="A7" s="15" t="s">
        <v>185</v>
      </c>
      <c r="B7" s="146">
        <v>3678.6</v>
      </c>
      <c r="C7" s="147">
        <v>5</v>
      </c>
      <c r="D7" s="147">
        <v>1110.9</v>
      </c>
      <c r="E7" s="148">
        <v>38.2</v>
      </c>
      <c r="F7" s="148">
        <v>0</v>
      </c>
      <c r="G7" s="148">
        <v>1265.6</v>
      </c>
      <c r="H7" s="148">
        <v>110.8</v>
      </c>
      <c r="I7" s="148">
        <v>180.2</v>
      </c>
      <c r="J7" s="148">
        <v>423.9</v>
      </c>
      <c r="K7" s="148">
        <v>0</v>
      </c>
      <c r="L7" s="148">
        <v>271.6</v>
      </c>
      <c r="M7" s="149">
        <f>SUM(B7:L7)</f>
        <v>7084.799999999999</v>
      </c>
      <c r="N7" s="15" t="s">
        <v>175</v>
      </c>
      <c r="O7" s="150">
        <f>M7+M13</f>
        <v>7398.599999999999</v>
      </c>
      <c r="P7" s="15">
        <v>495</v>
      </c>
      <c r="Q7" s="42">
        <f>2364.7+241</f>
        <v>2605.7</v>
      </c>
      <c r="R7" s="42">
        <f>714.1+72.8</f>
        <v>786.9</v>
      </c>
      <c r="S7" s="43">
        <f>Q7+R7</f>
        <v>3392.6</v>
      </c>
      <c r="T7" s="44">
        <v>0</v>
      </c>
      <c r="U7" s="44">
        <v>0</v>
      </c>
      <c r="V7" s="45">
        <f>T7+U7</f>
        <v>0</v>
      </c>
      <c r="W7" s="46">
        <v>22.9</v>
      </c>
      <c r="X7" s="46">
        <v>19.4</v>
      </c>
      <c r="Y7" s="47">
        <f>W7+X7</f>
        <v>42.3</v>
      </c>
      <c r="Z7" s="48">
        <f>S7+V7+Y7</f>
        <v>3434.9</v>
      </c>
      <c r="AA7" s="151">
        <v>1265.6</v>
      </c>
      <c r="AB7" s="46">
        <v>0</v>
      </c>
      <c r="AC7" s="46">
        <v>0</v>
      </c>
      <c r="AD7" s="46">
        <f>12+1.1+5.8</f>
        <v>18.9</v>
      </c>
      <c r="AE7" s="46">
        <f>7+3.5+7.4+24.9+15+2+1.6+3.2+4.1+21.3+7.1</f>
        <v>97.09999999999998</v>
      </c>
      <c r="AF7" s="46">
        <v>0</v>
      </c>
      <c r="AG7" s="46">
        <f>2.3+6.4</f>
        <v>8.7</v>
      </c>
      <c r="AH7" s="46">
        <v>9.5</v>
      </c>
      <c r="AI7" s="47">
        <f>SUM(AB7:AH7)</f>
        <v>134.2</v>
      </c>
      <c r="AJ7" s="46">
        <f>12+6.3+15.9</f>
        <v>34.2</v>
      </c>
      <c r="AK7" s="46">
        <v>5.7</v>
      </c>
      <c r="AL7" s="46">
        <f>97.9+1.3</f>
        <v>99.2</v>
      </c>
      <c r="AM7" s="47">
        <f>AJ7+AK7+AL7</f>
        <v>139.10000000000002</v>
      </c>
      <c r="AN7" s="47">
        <v>38.2</v>
      </c>
      <c r="AO7" s="47">
        <v>8.5</v>
      </c>
      <c r="AP7" s="46">
        <v>0</v>
      </c>
      <c r="AQ7" s="152">
        <v>1313.9</v>
      </c>
      <c r="AR7" s="153">
        <v>396.8</v>
      </c>
      <c r="AS7" s="47">
        <f>AQ7+AR7</f>
        <v>1710.7</v>
      </c>
      <c r="AT7" s="46">
        <v>23.5</v>
      </c>
      <c r="AU7" s="46">
        <f>70+18+90+7.8+22.3+11.9</f>
        <v>220.00000000000003</v>
      </c>
      <c r="AV7" s="151">
        <v>423.9</v>
      </c>
      <c r="AW7" s="49">
        <f>AA7+AI7+AM7+AP7+AS7+AT7+AU7+AV7+AN7+AO7</f>
        <v>3963.7000000000003</v>
      </c>
      <c r="AX7" s="154">
        <f>Z7+AW7</f>
        <v>7398.6</v>
      </c>
      <c r="AY7" s="48">
        <f>AZ7+BA7+BB7</f>
        <v>3434.9</v>
      </c>
      <c r="AZ7" s="46">
        <f>S7</f>
        <v>3392.6</v>
      </c>
      <c r="BA7" s="46">
        <f>V7</f>
        <v>0</v>
      </c>
      <c r="BB7" s="46">
        <f>Y7</f>
        <v>42.3</v>
      </c>
      <c r="BC7" s="155">
        <f>BD7+BE7+BF7+BG7+BH7</f>
        <v>3963.7</v>
      </c>
      <c r="BD7" s="46">
        <f>AS7</f>
        <v>1710.7</v>
      </c>
      <c r="BE7" s="46">
        <f>AA7</f>
        <v>1265.6</v>
      </c>
      <c r="BF7" s="46">
        <f>AI7</f>
        <v>134.2</v>
      </c>
      <c r="BG7" s="46">
        <f>AM7</f>
        <v>139.10000000000002</v>
      </c>
      <c r="BH7" s="46">
        <f>AW7-BD7-BE7-BF7-BG7</f>
        <v>714.1</v>
      </c>
      <c r="BI7" s="156">
        <f>P7</f>
        <v>495</v>
      </c>
      <c r="BJ7" s="157">
        <f>BK7+BL7+BM7</f>
        <v>6.939191919191918</v>
      </c>
      <c r="BK7" s="158">
        <f>AZ7/BI7</f>
        <v>6.853737373737373</v>
      </c>
      <c r="BL7" s="158">
        <f>BA7/BI7</f>
        <v>0</v>
      </c>
      <c r="BM7" s="158">
        <f>BB7/BI7</f>
        <v>0.08545454545454545</v>
      </c>
      <c r="BN7" s="159">
        <f>BO7+BP7+BQ7+BR7+BS7</f>
        <v>8.007474747474747</v>
      </c>
      <c r="BO7" s="158">
        <f>BD7/BI7</f>
        <v>3.455959595959596</v>
      </c>
      <c r="BP7" s="158">
        <f>BE7/BI7</f>
        <v>2.556767676767677</v>
      </c>
      <c r="BQ7" s="158">
        <f>BF7/BI7</f>
        <v>0.2711111111111111</v>
      </c>
      <c r="BR7" s="158">
        <f>BG7/BI7</f>
        <v>0.28101010101010104</v>
      </c>
      <c r="BS7" s="158">
        <f>BH7/BI7</f>
        <v>1.4426262626262627</v>
      </c>
      <c r="BT7" s="160">
        <f>BJ7+BN7</f>
        <v>14.946666666666665</v>
      </c>
      <c r="BU7" s="46">
        <f>BT7*BI7</f>
        <v>7398.599999999999</v>
      </c>
      <c r="BV7" s="161">
        <f>AX7-BU7</f>
        <v>0</v>
      </c>
      <c r="BW7" s="6"/>
      <c r="BX7" s="6"/>
    </row>
    <row r="8" spans="1:76" ht="20.25">
      <c r="A8" s="162" t="s">
        <v>176</v>
      </c>
      <c r="B8" s="163">
        <f>B6+B7</f>
        <v>8342</v>
      </c>
      <c r="C8" s="163">
        <f>C6+C7</f>
        <v>6.8</v>
      </c>
      <c r="D8" s="163">
        <f aca="true" t="shared" si="0" ref="D8:O8">D6+D7</f>
        <v>2519.2</v>
      </c>
      <c r="E8" s="164">
        <f>E6+E7</f>
        <v>82.30000000000001</v>
      </c>
      <c r="F8" s="164">
        <f t="shared" si="0"/>
        <v>0</v>
      </c>
      <c r="G8" s="164">
        <f t="shared" si="0"/>
        <v>1308.5</v>
      </c>
      <c r="H8" s="164">
        <f t="shared" si="0"/>
        <v>144.5</v>
      </c>
      <c r="I8" s="164">
        <f t="shared" si="0"/>
        <v>232.5</v>
      </c>
      <c r="J8" s="164">
        <f t="shared" si="0"/>
        <v>437.2</v>
      </c>
      <c r="K8" s="164">
        <f t="shared" si="0"/>
        <v>0</v>
      </c>
      <c r="L8" s="164">
        <f t="shared" si="0"/>
        <v>327.20000000000005</v>
      </c>
      <c r="M8" s="165">
        <f t="shared" si="0"/>
        <v>13400.2</v>
      </c>
      <c r="N8" s="162" t="s">
        <v>176</v>
      </c>
      <c r="O8" s="166">
        <f t="shared" si="0"/>
        <v>14314.7</v>
      </c>
      <c r="P8" s="66">
        <f aca="true" t="shared" si="1" ref="P8:AX8">SUM(P6:P7)</f>
        <v>1527</v>
      </c>
      <c r="Q8" s="66">
        <f t="shared" si="1"/>
        <v>7288.7</v>
      </c>
      <c r="R8" s="66">
        <f t="shared" si="1"/>
        <v>2200.5</v>
      </c>
      <c r="S8" s="66">
        <f t="shared" si="1"/>
        <v>9489.2</v>
      </c>
      <c r="T8" s="66">
        <f t="shared" si="1"/>
        <v>0</v>
      </c>
      <c r="U8" s="66">
        <f t="shared" si="1"/>
        <v>0</v>
      </c>
      <c r="V8" s="66">
        <f t="shared" si="1"/>
        <v>0</v>
      </c>
      <c r="W8" s="66">
        <f t="shared" si="1"/>
        <v>22.9</v>
      </c>
      <c r="X8" s="66">
        <f t="shared" si="1"/>
        <v>28.7</v>
      </c>
      <c r="Y8" s="66">
        <f t="shared" si="1"/>
        <v>51.599999999999994</v>
      </c>
      <c r="Z8" s="66">
        <f t="shared" si="1"/>
        <v>9540.800000000001</v>
      </c>
      <c r="AA8" s="66">
        <f t="shared" si="1"/>
        <v>1308.5</v>
      </c>
      <c r="AB8" s="66">
        <f t="shared" si="1"/>
        <v>0</v>
      </c>
      <c r="AC8" s="66">
        <f t="shared" si="1"/>
        <v>0</v>
      </c>
      <c r="AD8" s="66">
        <f t="shared" si="1"/>
        <v>27</v>
      </c>
      <c r="AE8" s="66">
        <f t="shared" si="1"/>
        <v>156.59999999999997</v>
      </c>
      <c r="AF8" s="66">
        <f t="shared" si="1"/>
        <v>0</v>
      </c>
      <c r="AG8" s="66">
        <f t="shared" si="1"/>
        <v>10.5</v>
      </c>
      <c r="AH8" s="66">
        <f t="shared" si="1"/>
        <v>17.3</v>
      </c>
      <c r="AI8" s="66">
        <f t="shared" si="1"/>
        <v>211.39999999999998</v>
      </c>
      <c r="AJ8" s="66">
        <f t="shared" si="1"/>
        <v>34.2</v>
      </c>
      <c r="AK8" s="66">
        <f t="shared" si="1"/>
        <v>5.7</v>
      </c>
      <c r="AL8" s="66">
        <f t="shared" si="1"/>
        <v>99.2</v>
      </c>
      <c r="AM8" s="66">
        <f t="shared" si="1"/>
        <v>139.10000000000002</v>
      </c>
      <c r="AN8" s="66">
        <f t="shared" si="1"/>
        <v>82.30000000000001</v>
      </c>
      <c r="AO8" s="66">
        <f t="shared" si="1"/>
        <v>17</v>
      </c>
      <c r="AP8" s="66">
        <f t="shared" si="1"/>
        <v>0</v>
      </c>
      <c r="AQ8" s="66">
        <f t="shared" si="1"/>
        <v>1757.5</v>
      </c>
      <c r="AR8" s="66">
        <f t="shared" si="1"/>
        <v>530.8</v>
      </c>
      <c r="AS8" s="66">
        <f t="shared" si="1"/>
        <v>2288.3</v>
      </c>
      <c r="AT8" s="66">
        <f t="shared" si="1"/>
        <v>32.8</v>
      </c>
      <c r="AU8" s="66">
        <f t="shared" si="1"/>
        <v>257.3</v>
      </c>
      <c r="AV8" s="66">
        <f t="shared" si="1"/>
        <v>437.2</v>
      </c>
      <c r="AW8" s="66">
        <f t="shared" si="1"/>
        <v>4773.900000000001</v>
      </c>
      <c r="AX8" s="66">
        <f t="shared" si="1"/>
        <v>14314.7</v>
      </c>
      <c r="AY8" s="66">
        <f>SUM(AY6:AY7)</f>
        <v>9540.800000000001</v>
      </c>
      <c r="AZ8" s="66">
        <f aca="true" t="shared" si="2" ref="AZ8:BI8">SUM(AZ6:AZ7)</f>
        <v>9489.2</v>
      </c>
      <c r="BA8" s="66">
        <f t="shared" si="2"/>
        <v>0</v>
      </c>
      <c r="BB8" s="66">
        <f t="shared" si="2"/>
        <v>51.599999999999994</v>
      </c>
      <c r="BC8" s="66">
        <f t="shared" si="2"/>
        <v>4773.9</v>
      </c>
      <c r="BD8" s="66">
        <f t="shared" si="2"/>
        <v>2288.3</v>
      </c>
      <c r="BE8" s="66">
        <f t="shared" si="2"/>
        <v>1308.5</v>
      </c>
      <c r="BF8" s="66">
        <f t="shared" si="2"/>
        <v>211.39999999999998</v>
      </c>
      <c r="BG8" s="66">
        <f t="shared" si="2"/>
        <v>139.10000000000002</v>
      </c>
      <c r="BH8" s="66">
        <f t="shared" si="2"/>
        <v>826.5999999999999</v>
      </c>
      <c r="BI8" s="66">
        <f t="shared" si="2"/>
        <v>1527</v>
      </c>
      <c r="BJ8" s="157">
        <f>BK8+BL8+BM8</f>
        <v>6.248068107400131</v>
      </c>
      <c r="BK8" s="158">
        <f>AZ8/BI8</f>
        <v>6.214276358873609</v>
      </c>
      <c r="BL8" s="158">
        <f>BA8/BI8</f>
        <v>0</v>
      </c>
      <c r="BM8" s="158">
        <f>BB8/BI8</f>
        <v>0.03379174852652259</v>
      </c>
      <c r="BN8" s="159">
        <f>BO8+BP8+BQ8+BR8+BS8</f>
        <v>3.126326129666012</v>
      </c>
      <c r="BO8" s="158">
        <f>BD8/BI8</f>
        <v>1.498559266535691</v>
      </c>
      <c r="BP8" s="158">
        <f>BE8/BI8</f>
        <v>0.8569089718402095</v>
      </c>
      <c r="BQ8" s="158">
        <f>BF8/BI8</f>
        <v>0.1384413883431565</v>
      </c>
      <c r="BR8" s="158">
        <f>BG8/BI8</f>
        <v>0.0910936476751801</v>
      </c>
      <c r="BS8" s="158">
        <f>BH8/BI8</f>
        <v>0.5413228552717747</v>
      </c>
      <c r="BT8" s="167">
        <f>BJ8+BN8</f>
        <v>9.374394237066143</v>
      </c>
      <c r="BU8" s="46">
        <f>SUM(BU6:BU7)</f>
        <v>14314.7</v>
      </c>
      <c r="BV8" s="46">
        <f>SUM(BV6:BV7)</f>
        <v>0</v>
      </c>
      <c r="BW8" s="6"/>
      <c r="BX8" s="6"/>
    </row>
    <row r="9" spans="1:15" ht="21">
      <c r="A9" s="15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168"/>
      <c r="O9" s="168"/>
    </row>
    <row r="10" spans="1:21" ht="21">
      <c r="A10" s="169" t="s">
        <v>177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T10" s="133">
        <v>5124.8</v>
      </c>
      <c r="U10" s="133">
        <v>1547.6</v>
      </c>
    </row>
    <row r="11" spans="1:23" ht="20.25">
      <c r="A11" s="15"/>
      <c r="B11" s="171">
        <v>211</v>
      </c>
      <c r="C11" s="171">
        <v>212</v>
      </c>
      <c r="D11" s="171">
        <v>213</v>
      </c>
      <c r="E11" s="171">
        <v>221</v>
      </c>
      <c r="F11" s="171">
        <v>222</v>
      </c>
      <c r="G11" s="171">
        <v>223</v>
      </c>
      <c r="H11" s="171">
        <v>225</v>
      </c>
      <c r="I11" s="171">
        <v>226</v>
      </c>
      <c r="J11" s="172">
        <v>290</v>
      </c>
      <c r="K11" s="172">
        <v>310</v>
      </c>
      <c r="L11" s="172">
        <v>340</v>
      </c>
      <c r="M11" s="172">
        <v>800</v>
      </c>
      <c r="N11" s="168"/>
      <c r="S11" s="15" t="s">
        <v>174</v>
      </c>
      <c r="T11" s="173">
        <f>Q6+AQ6</f>
        <v>5126.6</v>
      </c>
      <c r="U11" s="173">
        <f>R6+AR6</f>
        <v>1547.6</v>
      </c>
      <c r="V11" s="173">
        <f>SUM(T11:U11)</f>
        <v>6674.200000000001</v>
      </c>
      <c r="W11" s="133">
        <v>5124.8</v>
      </c>
    </row>
    <row r="12" spans="1:22" ht="21">
      <c r="A12" s="15" t="s">
        <v>174</v>
      </c>
      <c r="B12" s="147">
        <v>461.4</v>
      </c>
      <c r="C12" s="147"/>
      <c r="D12" s="147">
        <v>139.3</v>
      </c>
      <c r="E12" s="147"/>
      <c r="F12" s="147"/>
      <c r="G12" s="147"/>
      <c r="H12" s="147"/>
      <c r="I12" s="147"/>
      <c r="J12" s="147"/>
      <c r="K12" s="147"/>
      <c r="L12" s="147"/>
      <c r="M12" s="174">
        <f>SUM(B12:L12)</f>
        <v>600.7</v>
      </c>
      <c r="N12" s="15" t="s">
        <v>174</v>
      </c>
      <c r="O12" s="15"/>
      <c r="S12" s="15" t="s">
        <v>175</v>
      </c>
      <c r="T12" s="173">
        <f>Q7+AQ7</f>
        <v>3919.6</v>
      </c>
      <c r="U12" s="173">
        <f>R7+AR7</f>
        <v>1183.7</v>
      </c>
      <c r="V12" s="173">
        <f>SUM(T12:U12)</f>
        <v>5103.3</v>
      </c>
    </row>
    <row r="13" spans="1:15" ht="21">
      <c r="A13" s="15" t="s">
        <v>175</v>
      </c>
      <c r="B13" s="147">
        <v>241</v>
      </c>
      <c r="C13" s="147"/>
      <c r="D13" s="147">
        <v>72.8</v>
      </c>
      <c r="E13" s="147"/>
      <c r="F13" s="147"/>
      <c r="G13" s="147"/>
      <c r="H13" s="175"/>
      <c r="I13" s="147"/>
      <c r="J13" s="147"/>
      <c r="K13" s="147"/>
      <c r="L13" s="147"/>
      <c r="M13" s="174">
        <f>SUM(B13:L13)</f>
        <v>313.8</v>
      </c>
      <c r="N13" s="15" t="s">
        <v>175</v>
      </c>
      <c r="O13" s="15"/>
    </row>
    <row r="14" spans="1:15" ht="20.25">
      <c r="A14" s="162" t="s">
        <v>176</v>
      </c>
      <c r="B14" s="163">
        <f aca="true" t="shared" si="3" ref="B14:M14">B12+B13</f>
        <v>702.4</v>
      </c>
      <c r="C14" s="163">
        <f t="shared" si="3"/>
        <v>0</v>
      </c>
      <c r="D14" s="163">
        <f t="shared" si="3"/>
        <v>212.10000000000002</v>
      </c>
      <c r="E14" s="163">
        <f t="shared" si="3"/>
        <v>0</v>
      </c>
      <c r="F14" s="163">
        <f t="shared" si="3"/>
        <v>0</v>
      </c>
      <c r="G14" s="163">
        <f t="shared" si="3"/>
        <v>0</v>
      </c>
      <c r="H14" s="176">
        <f t="shared" si="3"/>
        <v>0</v>
      </c>
      <c r="I14" s="163">
        <f t="shared" si="3"/>
        <v>0</v>
      </c>
      <c r="J14" s="163">
        <f t="shared" si="3"/>
        <v>0</v>
      </c>
      <c r="K14" s="163">
        <f t="shared" si="3"/>
        <v>0</v>
      </c>
      <c r="L14" s="163">
        <f t="shared" si="3"/>
        <v>0</v>
      </c>
      <c r="M14" s="177">
        <f t="shared" si="3"/>
        <v>914.5</v>
      </c>
      <c r="N14" s="162" t="s">
        <v>176</v>
      </c>
      <c r="O14" s="162"/>
    </row>
    <row r="15" spans="1:13" ht="21">
      <c r="A15" s="137" t="s">
        <v>178</v>
      </c>
      <c r="B15" s="80"/>
      <c r="C15" s="80"/>
      <c r="D15" s="80"/>
      <c r="E15" s="80"/>
      <c r="F15" s="80"/>
      <c r="G15" s="80"/>
      <c r="H15" s="80"/>
      <c r="I15" s="80" t="s">
        <v>179</v>
      </c>
      <c r="J15" s="80"/>
      <c r="K15" s="80"/>
      <c r="L15" s="80"/>
      <c r="M15" s="178"/>
    </row>
    <row r="16" spans="1:13" ht="20.25">
      <c r="A16" s="15"/>
      <c r="B16" s="171">
        <v>211</v>
      </c>
      <c r="C16" s="171">
        <v>212</v>
      </c>
      <c r="D16" s="171">
        <v>213</v>
      </c>
      <c r="E16" s="171">
        <v>221</v>
      </c>
      <c r="F16" s="171">
        <v>222</v>
      </c>
      <c r="G16" s="171">
        <v>223</v>
      </c>
      <c r="H16" s="171">
        <v>225</v>
      </c>
      <c r="I16" s="171">
        <v>226</v>
      </c>
      <c r="J16" s="172">
        <v>290</v>
      </c>
      <c r="K16" s="172">
        <v>310</v>
      </c>
      <c r="L16" s="172">
        <v>340</v>
      </c>
      <c r="M16" s="179">
        <v>800</v>
      </c>
    </row>
    <row r="17" spans="1:14" ht="21">
      <c r="A17" s="15" t="s">
        <v>174</v>
      </c>
      <c r="B17" s="147"/>
      <c r="C17" s="147"/>
      <c r="D17" s="147"/>
      <c r="E17" s="147"/>
      <c r="F17" s="147"/>
      <c r="G17" s="147"/>
      <c r="H17" s="147"/>
      <c r="I17" s="147">
        <v>62.7</v>
      </c>
      <c r="J17" s="147"/>
      <c r="K17" s="147"/>
      <c r="L17" s="147"/>
      <c r="M17" s="174">
        <f>SUM(B17:L17)</f>
        <v>62.7</v>
      </c>
      <c r="N17" s="15" t="s">
        <v>174</v>
      </c>
    </row>
    <row r="18" spans="1:14" ht="21">
      <c r="A18" s="15" t="s">
        <v>175</v>
      </c>
      <c r="B18" s="147"/>
      <c r="C18" s="147"/>
      <c r="D18" s="147"/>
      <c r="E18" s="147"/>
      <c r="F18" s="147"/>
      <c r="G18" s="147"/>
      <c r="H18" s="175"/>
      <c r="I18" s="147">
        <v>62.7</v>
      </c>
      <c r="J18" s="147"/>
      <c r="K18" s="147"/>
      <c r="L18" s="147"/>
      <c r="M18" s="174">
        <f>SUM(B18:L18)</f>
        <v>62.7</v>
      </c>
      <c r="N18" s="15" t="s">
        <v>175</v>
      </c>
    </row>
    <row r="19" spans="1:14" ht="20.25">
      <c r="A19" s="162" t="s">
        <v>176</v>
      </c>
      <c r="B19" s="163">
        <f aca="true" t="shared" si="4" ref="B19:M19">B17+B18</f>
        <v>0</v>
      </c>
      <c r="C19" s="163">
        <f t="shared" si="4"/>
        <v>0</v>
      </c>
      <c r="D19" s="163">
        <f t="shared" si="4"/>
        <v>0</v>
      </c>
      <c r="E19" s="163">
        <f t="shared" si="4"/>
        <v>0</v>
      </c>
      <c r="F19" s="163">
        <f t="shared" si="4"/>
        <v>0</v>
      </c>
      <c r="G19" s="163">
        <f t="shared" si="4"/>
        <v>0</v>
      </c>
      <c r="H19" s="176">
        <f t="shared" si="4"/>
        <v>0</v>
      </c>
      <c r="I19" s="163">
        <f t="shared" si="4"/>
        <v>125.4</v>
      </c>
      <c r="J19" s="163">
        <f t="shared" si="4"/>
        <v>0</v>
      </c>
      <c r="K19" s="163">
        <f t="shared" si="4"/>
        <v>0</v>
      </c>
      <c r="L19" s="163">
        <f t="shared" si="4"/>
        <v>0</v>
      </c>
      <c r="M19" s="177">
        <f t="shared" si="4"/>
        <v>125.4</v>
      </c>
      <c r="N19" s="162" t="s">
        <v>176</v>
      </c>
    </row>
    <row r="20" spans="2:13" ht="21"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78"/>
    </row>
    <row r="21" spans="1:13" ht="21">
      <c r="A21" s="137" t="s">
        <v>180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78"/>
    </row>
    <row r="22" spans="1:13" ht="20.25">
      <c r="A22" s="15"/>
      <c r="B22" s="181">
        <v>211</v>
      </c>
      <c r="C22" s="181">
        <v>212</v>
      </c>
      <c r="D22" s="181">
        <v>213</v>
      </c>
      <c r="E22" s="181">
        <v>221</v>
      </c>
      <c r="F22" s="181">
        <v>222</v>
      </c>
      <c r="G22" s="181">
        <v>223</v>
      </c>
      <c r="H22" s="181">
        <v>225</v>
      </c>
      <c r="I22" s="181">
        <v>226</v>
      </c>
      <c r="J22" s="182">
        <v>290</v>
      </c>
      <c r="K22" s="182">
        <v>310</v>
      </c>
      <c r="L22" s="182">
        <v>340</v>
      </c>
      <c r="M22" s="179">
        <v>800</v>
      </c>
    </row>
    <row r="23" spans="1:15" ht="21">
      <c r="A23" s="15" t="s">
        <v>174</v>
      </c>
      <c r="B23" s="183">
        <f>B6+B17+B12</f>
        <v>5124.799999999999</v>
      </c>
      <c r="C23" s="183">
        <f aca="true" t="shared" si="5" ref="C23:L24">C6+C17+C12</f>
        <v>1.8</v>
      </c>
      <c r="D23" s="183">
        <f t="shared" si="5"/>
        <v>1547.6</v>
      </c>
      <c r="E23" s="183">
        <f t="shared" si="5"/>
        <v>44.1</v>
      </c>
      <c r="F23" s="183">
        <f t="shared" si="5"/>
        <v>0</v>
      </c>
      <c r="G23" s="183">
        <f t="shared" si="5"/>
        <v>42.9</v>
      </c>
      <c r="H23" s="183">
        <f t="shared" si="5"/>
        <v>33.7</v>
      </c>
      <c r="I23" s="183">
        <f t="shared" si="5"/>
        <v>115</v>
      </c>
      <c r="J23" s="183">
        <f t="shared" si="5"/>
        <v>13.3</v>
      </c>
      <c r="K23" s="183">
        <f t="shared" si="5"/>
        <v>0</v>
      </c>
      <c r="L23" s="183">
        <f t="shared" si="5"/>
        <v>55.6</v>
      </c>
      <c r="M23" s="174">
        <f>SUM(B23:L23)</f>
        <v>6978.799999999999</v>
      </c>
      <c r="N23" s="15" t="s">
        <v>174</v>
      </c>
      <c r="O23" s="184"/>
    </row>
    <row r="24" spans="1:15" ht="21">
      <c r="A24" s="15" t="s">
        <v>175</v>
      </c>
      <c r="B24" s="183">
        <f>B7+B18+B13</f>
        <v>3919.6</v>
      </c>
      <c r="C24" s="183">
        <f t="shared" si="5"/>
        <v>5</v>
      </c>
      <c r="D24" s="183">
        <f t="shared" si="5"/>
        <v>1183.7</v>
      </c>
      <c r="E24" s="183">
        <f t="shared" si="5"/>
        <v>38.2</v>
      </c>
      <c r="F24" s="183">
        <f t="shared" si="5"/>
        <v>0</v>
      </c>
      <c r="G24" s="183">
        <f t="shared" si="5"/>
        <v>1265.6</v>
      </c>
      <c r="H24" s="183">
        <f t="shared" si="5"/>
        <v>110.8</v>
      </c>
      <c r="I24" s="183">
        <f t="shared" si="5"/>
        <v>242.89999999999998</v>
      </c>
      <c r="J24" s="183">
        <f t="shared" si="5"/>
        <v>423.9</v>
      </c>
      <c r="K24" s="183">
        <f t="shared" si="5"/>
        <v>0</v>
      </c>
      <c r="L24" s="183">
        <f t="shared" si="5"/>
        <v>271.6</v>
      </c>
      <c r="M24" s="174">
        <f>SUM(B24:L24)</f>
        <v>7461.3</v>
      </c>
      <c r="N24" s="15" t="s">
        <v>175</v>
      </c>
      <c r="O24" s="184"/>
    </row>
    <row r="25" spans="1:15" ht="20.25">
      <c r="A25" s="162" t="s">
        <v>176</v>
      </c>
      <c r="B25" s="177">
        <f aca="true" t="shared" si="6" ref="B25:M25">B23+B24</f>
        <v>9044.4</v>
      </c>
      <c r="C25" s="177">
        <f t="shared" si="6"/>
        <v>6.8</v>
      </c>
      <c r="D25" s="177">
        <f t="shared" si="6"/>
        <v>2731.3</v>
      </c>
      <c r="E25" s="177">
        <f t="shared" si="6"/>
        <v>82.30000000000001</v>
      </c>
      <c r="F25" s="177">
        <f t="shared" si="6"/>
        <v>0</v>
      </c>
      <c r="G25" s="177">
        <f t="shared" si="6"/>
        <v>1308.5</v>
      </c>
      <c r="H25" s="177">
        <f t="shared" si="6"/>
        <v>144.5</v>
      </c>
      <c r="I25" s="177">
        <f t="shared" si="6"/>
        <v>357.9</v>
      </c>
      <c r="J25" s="177">
        <f t="shared" si="6"/>
        <v>437.2</v>
      </c>
      <c r="K25" s="177">
        <f t="shared" si="6"/>
        <v>0</v>
      </c>
      <c r="L25" s="177">
        <f t="shared" si="6"/>
        <v>327.20000000000005</v>
      </c>
      <c r="M25" s="177">
        <f t="shared" si="6"/>
        <v>14440.099999999999</v>
      </c>
      <c r="N25" s="162" t="s">
        <v>176</v>
      </c>
      <c r="O25" s="184">
        <v>14440.1</v>
      </c>
    </row>
    <row r="27" ht="12.75">
      <c r="M27" s="185"/>
    </row>
  </sheetData>
  <sheetProtection/>
  <mergeCells count="34">
    <mergeCell ref="AY3:BB3"/>
    <mergeCell ref="BC3:BH3"/>
    <mergeCell ref="Q3:Z3"/>
    <mergeCell ref="BO4:BS4"/>
    <mergeCell ref="W4:Y4"/>
    <mergeCell ref="Z4:Z5"/>
    <mergeCell ref="AA4:AA5"/>
    <mergeCell ref="AT4:AT5"/>
    <mergeCell ref="A3:A5"/>
    <mergeCell ref="AZ4:BB4"/>
    <mergeCell ref="BC4:BC5"/>
    <mergeCell ref="BD4:BH4"/>
    <mergeCell ref="BJ4:BJ5"/>
    <mergeCell ref="BN3:BS3"/>
    <mergeCell ref="P3:P4"/>
    <mergeCell ref="AA3:AU3"/>
    <mergeCell ref="Q4:S4"/>
    <mergeCell ref="T4:V4"/>
    <mergeCell ref="AP4:AP5"/>
    <mergeCell ref="AQ4:AS4"/>
    <mergeCell ref="AB4:AI4"/>
    <mergeCell ref="AJ4:AM4"/>
    <mergeCell ref="AN4:AN5"/>
    <mergeCell ref="AO4:AO5"/>
    <mergeCell ref="BT3:BT5"/>
    <mergeCell ref="BU3:BU5"/>
    <mergeCell ref="AV4:AV5"/>
    <mergeCell ref="AX3:AX5"/>
    <mergeCell ref="BK4:BM4"/>
    <mergeCell ref="BN4:BN5"/>
    <mergeCell ref="AW4:AW5"/>
    <mergeCell ref="AY4:AY5"/>
    <mergeCell ref="BI3:BI4"/>
    <mergeCell ref="BJ3:BM3"/>
  </mergeCells>
  <printOptions/>
  <pageMargins left="0.11811023622047245" right="0.11811023622047245" top="0.7480314960629921" bottom="0.7480314960629921" header="0.11811023622047245" footer="0.1181102362204724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CY24"/>
  <sheetViews>
    <sheetView view="pageBreakPreview" zoomScale="40" zoomScaleSheetLayoutView="40" zoomScalePageLayoutView="40" workbookViewId="0" topLeftCell="A1">
      <pane xSplit="1" topLeftCell="BJ1" activePane="topRight" state="frozen"/>
      <selection pane="topLeft" activeCell="A1" sqref="A1"/>
      <selection pane="topRight" activeCell="A24" sqref="A24"/>
    </sheetView>
  </sheetViews>
  <sheetFormatPr defaultColWidth="9.125" defaultRowHeight="12.75"/>
  <cols>
    <col min="1" max="1" width="40.25390625" style="80" customWidth="1"/>
    <col min="2" max="2" width="1.12109375" style="80" hidden="1" customWidth="1"/>
    <col min="3" max="3" width="15.00390625" style="80" hidden="1" customWidth="1"/>
    <col min="4" max="4" width="20.50390625" style="80" hidden="1" customWidth="1"/>
    <col min="5" max="5" width="17.125" style="80" hidden="1" customWidth="1"/>
    <col min="6" max="6" width="17.50390625" style="80" hidden="1" customWidth="1"/>
    <col min="7" max="7" width="19.50390625" style="80" hidden="1" customWidth="1"/>
    <col min="8" max="8" width="17.50390625" style="80" hidden="1" customWidth="1"/>
    <col min="9" max="9" width="9.25390625" style="80" hidden="1" customWidth="1"/>
    <col min="10" max="10" width="17.50390625" style="80" hidden="1" customWidth="1"/>
    <col min="11" max="11" width="20.875" style="80" hidden="1" customWidth="1"/>
    <col min="12" max="12" width="20.375" style="80" hidden="1" customWidth="1"/>
    <col min="13" max="13" width="24.375" style="80" hidden="1" customWidth="1"/>
    <col min="14" max="14" width="0.12890625" style="80" customWidth="1"/>
    <col min="15" max="15" width="15.50390625" style="80" customWidth="1"/>
    <col min="16" max="16" width="18.375" style="80" customWidth="1"/>
    <col min="17" max="17" width="18.875" style="80" customWidth="1"/>
    <col min="18" max="18" width="18.25390625" style="80" customWidth="1"/>
    <col min="19" max="19" width="0.5" style="80" hidden="1" customWidth="1"/>
    <col min="20" max="20" width="11.50390625" style="80" hidden="1" customWidth="1"/>
    <col min="21" max="21" width="3.75390625" style="80" hidden="1" customWidth="1"/>
    <col min="22" max="23" width="14.25390625" style="80" hidden="1" customWidth="1"/>
    <col min="24" max="24" width="10.75390625" style="80" hidden="1" customWidth="1"/>
    <col min="25" max="25" width="17.375" style="80" hidden="1" customWidth="1"/>
    <col min="26" max="26" width="13.375" style="80" hidden="1" customWidth="1"/>
    <col min="27" max="27" width="11.75390625" style="80" hidden="1" customWidth="1"/>
    <col min="28" max="28" width="3.00390625" style="80" hidden="1" customWidth="1"/>
    <col min="29" max="29" width="17.875" style="80" hidden="1" customWidth="1"/>
    <col min="30" max="30" width="36.50390625" style="80" hidden="1" customWidth="1"/>
    <col min="31" max="31" width="4.875" style="80" hidden="1" customWidth="1"/>
    <col min="32" max="32" width="17.125" style="80" hidden="1" customWidth="1"/>
    <col min="33" max="33" width="16.75390625" style="80" hidden="1" customWidth="1"/>
    <col min="34" max="34" width="12.50390625" style="80" hidden="1" customWidth="1"/>
    <col min="35" max="35" width="16.125" style="80" hidden="1" customWidth="1"/>
    <col min="36" max="36" width="12.375" style="80" hidden="1" customWidth="1"/>
    <col min="37" max="37" width="15.125" style="80" hidden="1" customWidth="1"/>
    <col min="38" max="38" width="3.125" style="80" hidden="1" customWidth="1"/>
    <col min="39" max="39" width="23.375" style="80" hidden="1" customWidth="1"/>
    <col min="40" max="40" width="14.50390625" style="80" hidden="1" customWidth="1"/>
    <col min="41" max="41" width="15.00390625" style="80" hidden="1" customWidth="1"/>
    <col min="42" max="42" width="11.50390625" style="80" hidden="1" customWidth="1"/>
    <col min="43" max="43" width="14.00390625" style="80" hidden="1" customWidth="1"/>
    <col min="44" max="44" width="17.25390625" style="80" hidden="1" customWidth="1"/>
    <col min="45" max="45" width="11.125" style="80" hidden="1" customWidth="1"/>
    <col min="46" max="46" width="4.75390625" style="80" hidden="1" customWidth="1"/>
    <col min="47" max="47" width="12.50390625" style="80" hidden="1" customWidth="1"/>
    <col min="48" max="48" width="12.875" style="80" hidden="1" customWidth="1"/>
    <col min="49" max="49" width="16.50390625" style="80" hidden="1" customWidth="1"/>
    <col min="50" max="50" width="22.00390625" style="80" hidden="1" customWidth="1"/>
    <col min="51" max="51" width="0.6171875" style="80" hidden="1" customWidth="1"/>
    <col min="52" max="52" width="13.625" style="80" hidden="1" customWidth="1"/>
    <col min="53" max="53" width="19.625" style="80" hidden="1" customWidth="1"/>
    <col min="54" max="54" width="20.625" style="80" hidden="1" customWidth="1"/>
    <col min="55" max="55" width="1.75390625" style="80" hidden="1" customWidth="1"/>
    <col min="56" max="56" width="17.875" style="80" hidden="1" customWidth="1"/>
    <col min="57" max="57" width="17.50390625" style="80" hidden="1" customWidth="1"/>
    <col min="58" max="58" width="22.50390625" style="80" hidden="1" customWidth="1"/>
    <col min="59" max="59" width="16.25390625" style="80" hidden="1" customWidth="1"/>
    <col min="60" max="60" width="4.50390625" style="80" hidden="1" customWidth="1"/>
    <col min="61" max="61" width="15.625" style="80" hidden="1" customWidth="1"/>
    <col min="62" max="62" width="0.5" style="80" customWidth="1"/>
    <col min="63" max="63" width="12.125" style="80" hidden="1" customWidth="1"/>
    <col min="64" max="64" width="15.125" style="80" customWidth="1"/>
    <col min="65" max="65" width="22.75390625" style="80" customWidth="1"/>
    <col min="66" max="66" width="23.375" style="80" customWidth="1"/>
    <col min="67" max="67" width="24.00390625" style="80" customWidth="1"/>
    <col min="68" max="68" width="19.125" style="80" customWidth="1"/>
    <col min="69" max="69" width="21.25390625" style="80" customWidth="1"/>
    <col min="70" max="70" width="15.375" style="80" customWidth="1"/>
    <col min="71" max="71" width="19.00390625" style="80" customWidth="1"/>
    <col min="72" max="72" width="19.625" style="80" customWidth="1"/>
    <col min="73" max="73" width="17.50390625" style="80" customWidth="1"/>
    <col min="74" max="74" width="24.50390625" style="80" customWidth="1"/>
    <col min="75" max="75" width="0.12890625" style="80" customWidth="1"/>
    <col min="76" max="76" width="17.50390625" style="80" hidden="1" customWidth="1"/>
    <col min="77" max="78" width="17.125" style="80" hidden="1" customWidth="1"/>
    <col min="79" max="79" width="13.875" style="80" hidden="1" customWidth="1"/>
    <col min="80" max="80" width="13.50390625" style="80" hidden="1" customWidth="1"/>
    <col min="81" max="81" width="14.625" style="80" hidden="1" customWidth="1"/>
    <col min="82" max="82" width="13.75390625" style="80" hidden="1" customWidth="1"/>
    <col min="83" max="83" width="13.25390625" style="80" hidden="1" customWidth="1"/>
    <col min="84" max="84" width="3.75390625" style="80" hidden="1" customWidth="1"/>
    <col min="85" max="85" width="17.50390625" style="80" hidden="1" customWidth="1"/>
    <col min="86" max="86" width="18.375" style="80" hidden="1" customWidth="1"/>
    <col min="87" max="87" width="14.25390625" style="80" hidden="1" customWidth="1"/>
    <col min="88" max="88" width="13.00390625" style="80" hidden="1" customWidth="1"/>
    <col min="89" max="89" width="12.50390625" style="80" hidden="1" customWidth="1"/>
    <col min="90" max="90" width="6.375" style="80" hidden="1" customWidth="1"/>
    <col min="91" max="91" width="11.50390625" style="80" hidden="1" customWidth="1"/>
    <col min="92" max="92" width="13.375" style="80" hidden="1" customWidth="1"/>
    <col min="93" max="93" width="18.25390625" style="80" hidden="1" customWidth="1"/>
    <col min="94" max="94" width="14.625" style="80" hidden="1" customWidth="1"/>
    <col min="95" max="95" width="15.00390625" style="80" hidden="1" customWidth="1"/>
    <col min="96" max="96" width="18.875" style="80" hidden="1" customWidth="1"/>
    <col min="97" max="97" width="16.125" style="80" hidden="1" customWidth="1"/>
    <col min="98" max="98" width="16.375" style="80" hidden="1" customWidth="1"/>
    <col min="99" max="99" width="14.00390625" style="80" hidden="1" customWidth="1"/>
    <col min="100" max="100" width="0.5" style="80" hidden="1" customWidth="1"/>
    <col min="101" max="101" width="0.875" style="80" customWidth="1"/>
    <col min="102" max="102" width="14.25390625" style="80" customWidth="1"/>
    <col min="103" max="16384" width="9.125" style="80" customWidth="1"/>
  </cols>
  <sheetData>
    <row r="1" ht="36" customHeight="1">
      <c r="A1" s="130" t="s">
        <v>160</v>
      </c>
    </row>
    <row r="2" spans="1:101" ht="110.25" customHeight="1">
      <c r="A2" s="288" t="s">
        <v>159</v>
      </c>
      <c r="O2" s="322" t="s">
        <v>120</v>
      </c>
      <c r="P2" s="322"/>
      <c r="Q2" s="322"/>
      <c r="R2" s="322"/>
      <c r="S2" s="323" t="s">
        <v>121</v>
      </c>
      <c r="T2" s="324"/>
      <c r="U2" s="324"/>
      <c r="V2" s="324"/>
      <c r="W2" s="324"/>
      <c r="X2" s="324"/>
      <c r="Y2" s="324"/>
      <c r="Z2" s="324"/>
      <c r="AA2" s="324"/>
      <c r="AB2" s="325"/>
      <c r="AC2" s="326" t="s">
        <v>122</v>
      </c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81"/>
      <c r="AW2" s="82"/>
      <c r="AX2" s="328" t="s">
        <v>123</v>
      </c>
      <c r="AY2" s="83"/>
      <c r="AZ2" s="83"/>
      <c r="BA2" s="311" t="s">
        <v>124</v>
      </c>
      <c r="BB2" s="311"/>
      <c r="BC2" s="311"/>
      <c r="BD2" s="311"/>
      <c r="BE2" s="321" t="s">
        <v>125</v>
      </c>
      <c r="BF2" s="321"/>
      <c r="BG2" s="321"/>
      <c r="BH2" s="321"/>
      <c r="BI2" s="321"/>
      <c r="BJ2" s="321"/>
      <c r="BK2" s="307" t="s">
        <v>57</v>
      </c>
      <c r="BL2" s="308" t="s">
        <v>58</v>
      </c>
      <c r="BM2" s="308"/>
      <c r="BN2" s="308"/>
      <c r="BO2" s="308"/>
      <c r="BP2" s="309" t="s">
        <v>59</v>
      </c>
      <c r="BQ2" s="309"/>
      <c r="BR2" s="309"/>
      <c r="BS2" s="309"/>
      <c r="BT2" s="309"/>
      <c r="BU2" s="309"/>
      <c r="BV2" s="310" t="s">
        <v>126</v>
      </c>
      <c r="BW2" s="337" t="s">
        <v>127</v>
      </c>
      <c r="BX2" s="340" t="s">
        <v>128</v>
      </c>
      <c r="BY2" s="341"/>
      <c r="BZ2" s="341"/>
      <c r="CA2" s="341"/>
      <c r="CB2" s="341"/>
      <c r="CC2" s="341"/>
      <c r="CD2" s="341"/>
      <c r="CE2" s="342"/>
      <c r="CF2" s="318" t="s">
        <v>129</v>
      </c>
      <c r="CG2" s="319"/>
      <c r="CH2" s="319"/>
      <c r="CI2" s="319"/>
      <c r="CJ2" s="319"/>
      <c r="CK2" s="319"/>
      <c r="CL2" s="319"/>
      <c r="CM2" s="320"/>
      <c r="CN2" s="301" t="s">
        <v>130</v>
      </c>
      <c r="CO2" s="302"/>
      <c r="CP2" s="302"/>
      <c r="CQ2" s="302"/>
      <c r="CR2" s="302"/>
      <c r="CS2" s="302"/>
      <c r="CT2" s="302"/>
      <c r="CU2" s="303"/>
      <c r="CV2" s="304" t="s">
        <v>131</v>
      </c>
      <c r="CW2" s="304" t="s">
        <v>132</v>
      </c>
    </row>
    <row r="3" spans="1:101" ht="140.25" customHeight="1">
      <c r="A3" s="288"/>
      <c r="B3" s="84"/>
      <c r="C3" s="84"/>
      <c r="D3" s="85">
        <v>42005</v>
      </c>
      <c r="O3" s="86" t="s">
        <v>131</v>
      </c>
      <c r="P3" s="333" t="s">
        <v>133</v>
      </c>
      <c r="Q3" s="333" t="s">
        <v>134</v>
      </c>
      <c r="R3" s="333" t="s">
        <v>135</v>
      </c>
      <c r="S3" s="313" t="s">
        <v>136</v>
      </c>
      <c r="T3" s="314"/>
      <c r="U3" s="315"/>
      <c r="V3" s="313" t="s">
        <v>61</v>
      </c>
      <c r="W3" s="314"/>
      <c r="X3" s="314"/>
      <c r="Y3" s="312" t="s">
        <v>62</v>
      </c>
      <c r="Z3" s="312"/>
      <c r="AA3" s="312"/>
      <c r="AB3" s="331" t="s">
        <v>137</v>
      </c>
      <c r="AC3" s="296" t="s">
        <v>63</v>
      </c>
      <c r="AD3" s="313" t="s">
        <v>64</v>
      </c>
      <c r="AE3" s="314"/>
      <c r="AF3" s="314"/>
      <c r="AG3" s="314"/>
      <c r="AH3" s="314"/>
      <c r="AI3" s="314"/>
      <c r="AJ3" s="314"/>
      <c r="AK3" s="315"/>
      <c r="AL3" s="313" t="s">
        <v>65</v>
      </c>
      <c r="AM3" s="314"/>
      <c r="AN3" s="314"/>
      <c r="AO3" s="315"/>
      <c r="AP3" s="296" t="s">
        <v>66</v>
      </c>
      <c r="AQ3" s="298" t="s">
        <v>69</v>
      </c>
      <c r="AR3" s="299"/>
      <c r="AS3" s="300"/>
      <c r="AT3" s="296" t="s">
        <v>70</v>
      </c>
      <c r="AU3" s="20" t="s">
        <v>71</v>
      </c>
      <c r="AV3" s="296" t="s">
        <v>94</v>
      </c>
      <c r="AW3" s="316" t="s">
        <v>72</v>
      </c>
      <c r="AX3" s="329"/>
      <c r="AY3" s="20"/>
      <c r="AZ3" s="20"/>
      <c r="BA3" s="311" t="s">
        <v>72</v>
      </c>
      <c r="BB3" s="312" t="s">
        <v>73</v>
      </c>
      <c r="BC3" s="312"/>
      <c r="BD3" s="312"/>
      <c r="BE3" s="321" t="s">
        <v>72</v>
      </c>
      <c r="BF3" s="312" t="s">
        <v>73</v>
      </c>
      <c r="BG3" s="312"/>
      <c r="BH3" s="312"/>
      <c r="BI3" s="312"/>
      <c r="BJ3" s="312"/>
      <c r="BK3" s="307"/>
      <c r="BL3" s="311" t="s">
        <v>72</v>
      </c>
      <c r="BM3" s="312" t="s">
        <v>73</v>
      </c>
      <c r="BN3" s="312"/>
      <c r="BO3" s="312"/>
      <c r="BP3" s="321" t="s">
        <v>72</v>
      </c>
      <c r="BQ3" s="343" t="s">
        <v>73</v>
      </c>
      <c r="BR3" s="343"/>
      <c r="BS3" s="343"/>
      <c r="BT3" s="343"/>
      <c r="BU3" s="343"/>
      <c r="BV3" s="310"/>
      <c r="BW3" s="338"/>
      <c r="BX3" s="335" t="s">
        <v>72</v>
      </c>
      <c r="BY3" s="288" t="s">
        <v>124</v>
      </c>
      <c r="BZ3" s="291" t="s">
        <v>125</v>
      </c>
      <c r="CA3" s="292"/>
      <c r="CB3" s="292"/>
      <c r="CC3" s="292"/>
      <c r="CD3" s="292"/>
      <c r="CE3" s="293"/>
      <c r="CF3" s="289" t="s">
        <v>72</v>
      </c>
      <c r="CG3" s="288" t="s">
        <v>124</v>
      </c>
      <c r="CH3" s="291" t="s">
        <v>125</v>
      </c>
      <c r="CI3" s="292"/>
      <c r="CJ3" s="292"/>
      <c r="CK3" s="292"/>
      <c r="CL3" s="292"/>
      <c r="CM3" s="293"/>
      <c r="CN3" s="294" t="s">
        <v>72</v>
      </c>
      <c r="CO3" s="288" t="s">
        <v>124</v>
      </c>
      <c r="CP3" s="291" t="s">
        <v>125</v>
      </c>
      <c r="CQ3" s="292"/>
      <c r="CR3" s="292"/>
      <c r="CS3" s="292"/>
      <c r="CT3" s="292"/>
      <c r="CU3" s="293"/>
      <c r="CV3" s="305"/>
      <c r="CW3" s="305"/>
    </row>
    <row r="4" spans="1:101" ht="253.5" customHeight="1">
      <c r="A4" s="288"/>
      <c r="B4" s="187">
        <v>211</v>
      </c>
      <c r="C4" s="89">
        <v>212</v>
      </c>
      <c r="D4" s="89">
        <v>213</v>
      </c>
      <c r="E4" s="89">
        <v>221</v>
      </c>
      <c r="F4" s="89">
        <v>222</v>
      </c>
      <c r="G4" s="89">
        <v>223</v>
      </c>
      <c r="H4" s="89">
        <v>225</v>
      </c>
      <c r="I4" s="89">
        <v>226</v>
      </c>
      <c r="J4" s="90">
        <v>290</v>
      </c>
      <c r="K4" s="90">
        <v>310</v>
      </c>
      <c r="L4" s="90">
        <v>340</v>
      </c>
      <c r="M4" s="91">
        <v>800</v>
      </c>
      <c r="N4" s="92" t="s">
        <v>138</v>
      </c>
      <c r="O4" s="93"/>
      <c r="P4" s="334"/>
      <c r="Q4" s="334"/>
      <c r="R4" s="334"/>
      <c r="S4" s="188" t="s">
        <v>203</v>
      </c>
      <c r="T4" s="189" t="s">
        <v>204</v>
      </c>
      <c r="U4" s="189" t="s">
        <v>78</v>
      </c>
      <c r="V4" s="94" t="s">
        <v>79</v>
      </c>
      <c r="W4" s="94" t="s">
        <v>80</v>
      </c>
      <c r="X4" s="95" t="s">
        <v>81</v>
      </c>
      <c r="Y4" s="20" t="s">
        <v>139</v>
      </c>
      <c r="Z4" s="20" t="s">
        <v>83</v>
      </c>
      <c r="AA4" s="20" t="s">
        <v>81</v>
      </c>
      <c r="AB4" s="332"/>
      <c r="AC4" s="297"/>
      <c r="AD4" s="20" t="s">
        <v>84</v>
      </c>
      <c r="AE4" s="20" t="s">
        <v>85</v>
      </c>
      <c r="AF4" s="20" t="s">
        <v>86</v>
      </c>
      <c r="AG4" s="20" t="s">
        <v>87</v>
      </c>
      <c r="AH4" s="20" t="s">
        <v>88</v>
      </c>
      <c r="AI4" s="20" t="s">
        <v>89</v>
      </c>
      <c r="AJ4" s="20" t="s">
        <v>90</v>
      </c>
      <c r="AK4" s="96" t="s">
        <v>81</v>
      </c>
      <c r="AL4" s="20" t="s">
        <v>91</v>
      </c>
      <c r="AM4" s="20" t="s">
        <v>92</v>
      </c>
      <c r="AN4" s="20" t="s">
        <v>93</v>
      </c>
      <c r="AO4" s="96" t="s">
        <v>81</v>
      </c>
      <c r="AP4" s="297"/>
      <c r="AQ4" s="97">
        <v>211</v>
      </c>
      <c r="AR4" s="97">
        <v>213</v>
      </c>
      <c r="AS4" s="98" t="s">
        <v>78</v>
      </c>
      <c r="AT4" s="297"/>
      <c r="AU4" s="20" t="s">
        <v>140</v>
      </c>
      <c r="AV4" s="297"/>
      <c r="AW4" s="317"/>
      <c r="AX4" s="330"/>
      <c r="AY4" s="20" t="s">
        <v>141</v>
      </c>
      <c r="AZ4" s="20"/>
      <c r="BA4" s="311"/>
      <c r="BB4" s="99" t="s">
        <v>98</v>
      </c>
      <c r="BC4" s="99" t="s">
        <v>61</v>
      </c>
      <c r="BD4" s="99" t="s">
        <v>62</v>
      </c>
      <c r="BE4" s="321"/>
      <c r="BF4" s="99" t="s">
        <v>99</v>
      </c>
      <c r="BG4" s="20" t="s">
        <v>63</v>
      </c>
      <c r="BH4" s="20" t="s">
        <v>64</v>
      </c>
      <c r="BI4" s="20" t="s">
        <v>65</v>
      </c>
      <c r="BJ4" s="20" t="s">
        <v>71</v>
      </c>
      <c r="BK4" s="35" t="s">
        <v>247</v>
      </c>
      <c r="BL4" s="311"/>
      <c r="BM4" s="99" t="s">
        <v>98</v>
      </c>
      <c r="BN4" s="99" t="s">
        <v>61</v>
      </c>
      <c r="BO4" s="99" t="s">
        <v>62</v>
      </c>
      <c r="BP4" s="321"/>
      <c r="BQ4" s="100" t="s">
        <v>99</v>
      </c>
      <c r="BR4" s="101" t="s">
        <v>63</v>
      </c>
      <c r="BS4" s="101" t="s">
        <v>64</v>
      </c>
      <c r="BT4" s="101" t="s">
        <v>65</v>
      </c>
      <c r="BU4" s="101" t="s">
        <v>71</v>
      </c>
      <c r="BV4" s="310"/>
      <c r="BW4" s="339"/>
      <c r="BX4" s="336"/>
      <c r="BY4" s="288"/>
      <c r="BZ4" s="87" t="s">
        <v>142</v>
      </c>
      <c r="CA4" s="102" t="s">
        <v>99</v>
      </c>
      <c r="CB4" s="20" t="s">
        <v>63</v>
      </c>
      <c r="CC4" s="20" t="s">
        <v>64</v>
      </c>
      <c r="CD4" s="20" t="s">
        <v>65</v>
      </c>
      <c r="CE4" s="20" t="s">
        <v>71</v>
      </c>
      <c r="CF4" s="290"/>
      <c r="CG4" s="288"/>
      <c r="CH4" s="87" t="s">
        <v>142</v>
      </c>
      <c r="CI4" s="102" t="s">
        <v>99</v>
      </c>
      <c r="CJ4" s="20" t="s">
        <v>63</v>
      </c>
      <c r="CK4" s="20" t="s">
        <v>64</v>
      </c>
      <c r="CL4" s="20" t="s">
        <v>65</v>
      </c>
      <c r="CM4" s="20" t="s">
        <v>71</v>
      </c>
      <c r="CN4" s="295"/>
      <c r="CO4" s="288"/>
      <c r="CP4" s="87" t="s">
        <v>142</v>
      </c>
      <c r="CQ4" s="102" t="s">
        <v>99</v>
      </c>
      <c r="CR4" s="20" t="s">
        <v>63</v>
      </c>
      <c r="CS4" s="20" t="s">
        <v>64</v>
      </c>
      <c r="CT4" s="20" t="s">
        <v>65</v>
      </c>
      <c r="CU4" s="20" t="s">
        <v>71</v>
      </c>
      <c r="CV4" s="306"/>
      <c r="CW4" s="306"/>
    </row>
    <row r="5" spans="1:103" ht="21">
      <c r="A5" s="88" t="s">
        <v>188</v>
      </c>
      <c r="B5" s="103">
        <v>574.5</v>
      </c>
      <c r="C5" s="103">
        <v>0</v>
      </c>
      <c r="D5" s="103">
        <v>173.5</v>
      </c>
      <c r="E5" s="103">
        <v>0</v>
      </c>
      <c r="F5" s="103">
        <v>4.8</v>
      </c>
      <c r="G5" s="104">
        <v>1683.2</v>
      </c>
      <c r="H5" s="103">
        <v>258.4</v>
      </c>
      <c r="I5" s="103">
        <v>119.9</v>
      </c>
      <c r="J5" s="103">
        <v>242.2</v>
      </c>
      <c r="K5" s="103">
        <v>0</v>
      </c>
      <c r="L5" s="103">
        <v>120</v>
      </c>
      <c r="M5" s="105">
        <f>SUM(B5:L5)</f>
        <v>3176.5</v>
      </c>
      <c r="N5" s="88" t="s">
        <v>143</v>
      </c>
      <c r="O5" s="106">
        <v>421</v>
      </c>
      <c r="P5" s="106">
        <v>177</v>
      </c>
      <c r="Q5" s="106">
        <v>217</v>
      </c>
      <c r="R5" s="106">
        <v>27</v>
      </c>
      <c r="S5" s="107">
        <v>0</v>
      </c>
      <c r="T5" s="107">
        <v>0</v>
      </c>
      <c r="U5" s="108">
        <f>S5+T5</f>
        <v>0</v>
      </c>
      <c r="V5" s="109">
        <v>0</v>
      </c>
      <c r="W5" s="109">
        <v>0</v>
      </c>
      <c r="X5" s="110">
        <f>V5+W5</f>
        <v>0</v>
      </c>
      <c r="Y5" s="51">
        <v>0</v>
      </c>
      <c r="Z5" s="51">
        <v>0</v>
      </c>
      <c r="AA5" s="111">
        <f>Y5+Z5</f>
        <v>0</v>
      </c>
      <c r="AB5" s="112">
        <f>U5+X5+AA5</f>
        <v>0</v>
      </c>
      <c r="AC5" s="113">
        <v>1683.2</v>
      </c>
      <c r="AD5" s="51">
        <v>0</v>
      </c>
      <c r="AE5" s="51">
        <v>0</v>
      </c>
      <c r="AF5" s="51">
        <f>8.3+31.9+12+45.7+9.1</f>
        <v>107</v>
      </c>
      <c r="AG5" s="51">
        <f>14.7+30+24.9+18+2+3.6+3.2+5+11.7+5.6+4.1+120</f>
        <v>242.79999999999998</v>
      </c>
      <c r="AH5" s="51"/>
      <c r="AI5" s="51">
        <f>9.5+3.4+4.6</f>
        <v>17.5</v>
      </c>
      <c r="AJ5" s="51">
        <v>50.9</v>
      </c>
      <c r="AK5" s="111">
        <f>SUM(AD5:AJ5)</f>
        <v>418.19999999999993</v>
      </c>
      <c r="AL5" s="51">
        <v>0</v>
      </c>
      <c r="AM5" s="51">
        <v>2.2</v>
      </c>
      <c r="AN5" s="51">
        <v>0</v>
      </c>
      <c r="AO5" s="111">
        <f>AL5+AM5+AN5</f>
        <v>2.2</v>
      </c>
      <c r="AP5" s="51">
        <v>4.8</v>
      </c>
      <c r="AQ5" s="114">
        <v>574.5</v>
      </c>
      <c r="AR5" s="114">
        <v>173.5</v>
      </c>
      <c r="AS5" s="111">
        <f>AQ5+AR5</f>
        <v>748</v>
      </c>
      <c r="AT5" s="51">
        <f>40.2+10.7</f>
        <v>50.900000000000006</v>
      </c>
      <c r="AU5" s="51">
        <v>27</v>
      </c>
      <c r="AV5" s="114">
        <v>242.2</v>
      </c>
      <c r="AW5" s="115">
        <f>AC5+AK5+AO5+AP5+AS5+AT5+AU5+AV5</f>
        <v>3176.5</v>
      </c>
      <c r="AX5" s="67">
        <f>AB5+AW5</f>
        <v>3176.5</v>
      </c>
      <c r="AY5" s="51">
        <v>3176.5</v>
      </c>
      <c r="AZ5" s="51">
        <f>AX5-AY5</f>
        <v>0</v>
      </c>
      <c r="BA5" s="116">
        <f>AB5</f>
        <v>0</v>
      </c>
      <c r="BB5" s="51">
        <f>U5</f>
        <v>0</v>
      </c>
      <c r="BC5" s="51">
        <f>X5</f>
        <v>0</v>
      </c>
      <c r="BD5" s="51">
        <f>AA6</f>
        <v>0</v>
      </c>
      <c r="BE5" s="117">
        <f>AW5</f>
        <v>3176.5</v>
      </c>
      <c r="BF5" s="51">
        <f>AS5</f>
        <v>748</v>
      </c>
      <c r="BG5" s="118">
        <f>AC5</f>
        <v>1683.2</v>
      </c>
      <c r="BH5" s="51">
        <f>AK5</f>
        <v>418.19999999999993</v>
      </c>
      <c r="BI5" s="51">
        <f>AO5</f>
        <v>2.2</v>
      </c>
      <c r="BJ5" s="51">
        <f>BE5-BF5-BG5-BH5-BI5</f>
        <v>324.90000000000003</v>
      </c>
      <c r="BK5" s="54">
        <f>O5</f>
        <v>421</v>
      </c>
      <c r="BL5" s="52">
        <v>0</v>
      </c>
      <c r="BM5" s="53">
        <v>0</v>
      </c>
      <c r="BN5" s="53">
        <v>0</v>
      </c>
      <c r="BO5" s="53">
        <v>0</v>
      </c>
      <c r="BP5" s="119">
        <f>BQ5+BR5+BS5+BT5+BU5</f>
        <v>7.545130641330166</v>
      </c>
      <c r="BQ5" s="120">
        <f>BF5/BK5</f>
        <v>1.7767220902612826</v>
      </c>
      <c r="BR5" s="120">
        <f>BG5/BK5</f>
        <v>3.998099762470309</v>
      </c>
      <c r="BS5" s="120">
        <f>BH5/BK5</f>
        <v>0.9933491686460806</v>
      </c>
      <c r="BT5" s="120">
        <f>BI5/BK5</f>
        <v>0.005225653206650832</v>
      </c>
      <c r="BU5" s="120">
        <f>BJ5/BK5</f>
        <v>0.7717339667458433</v>
      </c>
      <c r="BV5" s="190">
        <f aca="true" t="shared" si="0" ref="BV5:BV21">BL5+BP5</f>
        <v>7.545130641330166</v>
      </c>
      <c r="BW5" s="121">
        <f aca="true" t="shared" si="1" ref="BW5:BW20">BV5*BK5</f>
        <v>3176.5</v>
      </c>
      <c r="BX5" s="122">
        <f>BY5+BZ5</f>
        <v>1335.4881235154394</v>
      </c>
      <c r="BY5" s="121">
        <f aca="true" t="shared" si="2" ref="BY5:BY20">BL5*P5</f>
        <v>0</v>
      </c>
      <c r="BZ5" s="121">
        <f>CA5+CB5+CC5+CD5+CE5</f>
        <v>1335.4881235154394</v>
      </c>
      <c r="CA5" s="121">
        <f aca="true" t="shared" si="3" ref="CA5:CA20">P5*BQ5</f>
        <v>314.479809976247</v>
      </c>
      <c r="CB5" s="121">
        <f aca="true" t="shared" si="4" ref="CB5:CB20">P5*BR5</f>
        <v>707.6636579572447</v>
      </c>
      <c r="CC5" s="121">
        <f aca="true" t="shared" si="5" ref="CC5:CC20">P5*BS5</f>
        <v>175.82280285035625</v>
      </c>
      <c r="CD5" s="121">
        <f aca="true" t="shared" si="6" ref="CD5:CD20">BT5*P5</f>
        <v>0.9249406175771973</v>
      </c>
      <c r="CE5" s="121">
        <f aca="true" t="shared" si="7" ref="CE5:CE20">BU5*P5</f>
        <v>136.59691211401426</v>
      </c>
      <c r="CF5" s="123">
        <f>CG5+CH5</f>
        <v>1637.293349168646</v>
      </c>
      <c r="CG5" s="121">
        <f aca="true" t="shared" si="8" ref="CG5:CG20">Q5*BL5</f>
        <v>0</v>
      </c>
      <c r="CH5" s="121">
        <f>CI5+CJ5+CK5+CL5+CM5</f>
        <v>1637.293349168646</v>
      </c>
      <c r="CI5" s="121">
        <f aca="true" t="shared" si="9" ref="CI5:CI20">BQ5*Q5</f>
        <v>385.54869358669833</v>
      </c>
      <c r="CJ5" s="121">
        <f aca="true" t="shared" si="10" ref="CJ5:CJ20">Q5*BR5</f>
        <v>867.5876484560571</v>
      </c>
      <c r="CK5" s="121">
        <f aca="true" t="shared" si="11" ref="CK5:CK20">BS5*Q5</f>
        <v>215.55676959619947</v>
      </c>
      <c r="CL5" s="121">
        <f aca="true" t="shared" si="12" ref="CL5:CL20">BT5*Q5</f>
        <v>1.1339667458432305</v>
      </c>
      <c r="CM5" s="121">
        <f aca="true" t="shared" si="13" ref="CM5:CM20">BU5*Q5</f>
        <v>167.466270783848</v>
      </c>
      <c r="CN5" s="124">
        <f>CO5+CP5</f>
        <v>203.71852731591449</v>
      </c>
      <c r="CO5" s="121">
        <f aca="true" t="shared" si="14" ref="CO5:CO20">BL5*R5</f>
        <v>0</v>
      </c>
      <c r="CP5" s="121">
        <f>CQ5+CR5+CS5+CT5+CU5</f>
        <v>203.71852731591449</v>
      </c>
      <c r="CQ5" s="121">
        <f aca="true" t="shared" si="15" ref="CQ5:CQ20">BQ5*R5</f>
        <v>47.97149643705463</v>
      </c>
      <c r="CR5" s="121">
        <f aca="true" t="shared" si="16" ref="CR5:CR20">BR5*R5</f>
        <v>107.94869358669834</v>
      </c>
      <c r="CS5" s="121">
        <f aca="true" t="shared" si="17" ref="CS5:CS20">BS5*R5</f>
        <v>26.820427553444176</v>
      </c>
      <c r="CT5" s="121">
        <f aca="true" t="shared" si="18" ref="CT5:CT20">BT5*R5</f>
        <v>0.14109263657957247</v>
      </c>
      <c r="CU5" s="121">
        <f aca="true" t="shared" si="19" ref="CU5:CU20">BU5*R5</f>
        <v>20.83681710213777</v>
      </c>
      <c r="CV5" s="121">
        <f>CN5+CF5+BX5</f>
        <v>3176.5</v>
      </c>
      <c r="CW5" s="121">
        <f>BW5-CV5</f>
        <v>0</v>
      </c>
      <c r="CX5" s="191">
        <f>CN5+CF5+BX5</f>
        <v>3176.5</v>
      </c>
      <c r="CY5" s="191">
        <f>BW5-CX5</f>
        <v>0</v>
      </c>
    </row>
    <row r="6" spans="1:103" ht="21">
      <c r="A6" s="88" t="s">
        <v>189</v>
      </c>
      <c r="B6" s="103">
        <v>446.6</v>
      </c>
      <c r="C6" s="103">
        <v>0</v>
      </c>
      <c r="D6" s="103">
        <v>134.9</v>
      </c>
      <c r="E6" s="103">
        <v>0</v>
      </c>
      <c r="F6" s="103">
        <v>0</v>
      </c>
      <c r="G6" s="104">
        <v>1738.7</v>
      </c>
      <c r="H6" s="103">
        <v>209.8</v>
      </c>
      <c r="I6" s="103">
        <v>196</v>
      </c>
      <c r="J6" s="103">
        <v>644.8</v>
      </c>
      <c r="K6" s="103">
        <v>0</v>
      </c>
      <c r="L6" s="103">
        <v>60</v>
      </c>
      <c r="M6" s="105">
        <f aca="true" t="shared" si="20" ref="M6:M20">SUM(B6:L6)</f>
        <v>3430.8</v>
      </c>
      <c r="N6" s="88" t="s">
        <v>144</v>
      </c>
      <c r="O6" s="106">
        <v>439</v>
      </c>
      <c r="P6" s="106">
        <v>189</v>
      </c>
      <c r="Q6" s="106">
        <v>219</v>
      </c>
      <c r="R6" s="106">
        <v>31</v>
      </c>
      <c r="S6" s="107">
        <v>0</v>
      </c>
      <c r="T6" s="107">
        <v>0</v>
      </c>
      <c r="U6" s="108">
        <f aca="true" t="shared" si="21" ref="U6:U20">S6+T6</f>
        <v>0</v>
      </c>
      <c r="V6" s="109">
        <v>0</v>
      </c>
      <c r="W6" s="109">
        <v>0</v>
      </c>
      <c r="X6" s="110">
        <f aca="true" t="shared" si="22" ref="X6:X20">V6+W6</f>
        <v>0</v>
      </c>
      <c r="Y6" s="109">
        <v>0</v>
      </c>
      <c r="Z6" s="109">
        <v>0</v>
      </c>
      <c r="AA6" s="111">
        <f aca="true" t="shared" si="23" ref="AA6:AA20">Y6+Z6</f>
        <v>0</v>
      </c>
      <c r="AB6" s="112">
        <f aca="true" t="shared" si="24" ref="AB6:AB20">U6+X6+AA6</f>
        <v>0</v>
      </c>
      <c r="AC6" s="113">
        <v>1738.7</v>
      </c>
      <c r="AD6" s="51">
        <v>0</v>
      </c>
      <c r="AE6" s="51">
        <v>0</v>
      </c>
      <c r="AF6" s="51">
        <f>10+22.1+12+2.3</f>
        <v>46.4</v>
      </c>
      <c r="AG6" s="51">
        <f>7.5+18+24.9+20+33.7+2+2+3.2+5+11.7+4+100+60</f>
        <v>292</v>
      </c>
      <c r="AH6" s="51"/>
      <c r="AI6" s="51">
        <f>8.6+3.4+4.6</f>
        <v>16.6</v>
      </c>
      <c r="AJ6" s="51">
        <v>47.3</v>
      </c>
      <c r="AK6" s="111">
        <f aca="true" t="shared" si="25" ref="AK6:AK20">SUM(AD6:AJ6)</f>
        <v>402.3</v>
      </c>
      <c r="AL6" s="51"/>
      <c r="AM6" s="51"/>
      <c r="AN6" s="51"/>
      <c r="AO6" s="111">
        <f aca="true" t="shared" si="26" ref="AO6:AO20">AL6+AM6+AN6</f>
        <v>0</v>
      </c>
      <c r="AP6" s="51">
        <v>0</v>
      </c>
      <c r="AQ6" s="114">
        <v>446.6</v>
      </c>
      <c r="AR6" s="114">
        <v>134.9</v>
      </c>
      <c r="AS6" s="111">
        <f aca="true" t="shared" si="27" ref="AS6:AS20">AQ6+AR6</f>
        <v>581.5</v>
      </c>
      <c r="AT6" s="51">
        <f>27.5+9</f>
        <v>36.5</v>
      </c>
      <c r="AU6" s="51">
        <v>27</v>
      </c>
      <c r="AV6" s="114">
        <v>644.8</v>
      </c>
      <c r="AW6" s="115">
        <f aca="true" t="shared" si="28" ref="AW6:AW20">AC6+AK6+AO6+AP6+AS6+AT6+AU6+AV6</f>
        <v>3430.8</v>
      </c>
      <c r="AX6" s="67">
        <f aca="true" t="shared" si="29" ref="AX6:AX20">AB6+AW6</f>
        <v>3430.8</v>
      </c>
      <c r="AY6" s="51">
        <v>3430.8</v>
      </c>
      <c r="AZ6" s="51">
        <f>AX6-AY6</f>
        <v>0</v>
      </c>
      <c r="BA6" s="116">
        <f aca="true" t="shared" si="30" ref="BA6:BA20">AB6</f>
        <v>0</v>
      </c>
      <c r="BB6" s="51">
        <f aca="true" t="shared" si="31" ref="BB6:BB20">U6</f>
        <v>0</v>
      </c>
      <c r="BC6" s="51">
        <f aca="true" t="shared" si="32" ref="BC6:BC20">X6</f>
        <v>0</v>
      </c>
      <c r="BD6" s="51">
        <f aca="true" t="shared" si="33" ref="BD6:BD20">AA7</f>
        <v>0</v>
      </c>
      <c r="BE6" s="117">
        <f aca="true" t="shared" si="34" ref="BE6:BE20">AW6</f>
        <v>3430.8</v>
      </c>
      <c r="BF6" s="51">
        <f aca="true" t="shared" si="35" ref="BF6:BF20">AS6</f>
        <v>581.5</v>
      </c>
      <c r="BG6" s="118">
        <f aca="true" t="shared" si="36" ref="BG6:BG20">AC6</f>
        <v>1738.7</v>
      </c>
      <c r="BH6" s="51">
        <f aca="true" t="shared" si="37" ref="BH6:BH20">AK6</f>
        <v>402.3</v>
      </c>
      <c r="BI6" s="51">
        <f aca="true" t="shared" si="38" ref="BI6:BI20">AO6</f>
        <v>0</v>
      </c>
      <c r="BJ6" s="51">
        <f aca="true" t="shared" si="39" ref="BJ6:BJ20">BE6-BF6-BG6-BH6-BI6</f>
        <v>708.3000000000002</v>
      </c>
      <c r="BK6" s="54">
        <f aca="true" t="shared" si="40" ref="BK6:BK20">O6</f>
        <v>439</v>
      </c>
      <c r="BL6" s="52">
        <v>0</v>
      </c>
      <c r="BM6" s="53">
        <v>0</v>
      </c>
      <c r="BN6" s="53">
        <v>0</v>
      </c>
      <c r="BO6" s="53">
        <v>0</v>
      </c>
      <c r="BP6" s="119">
        <f aca="true" t="shared" si="41" ref="BP6:BP21">BQ6+BR6+BS6+BT6+BU6</f>
        <v>7.815034168564921</v>
      </c>
      <c r="BQ6" s="120">
        <f aca="true" t="shared" si="42" ref="BQ6:BQ21">BF6/BK6</f>
        <v>1.3246013667425969</v>
      </c>
      <c r="BR6" s="120">
        <f aca="true" t="shared" si="43" ref="BR6:BR22">BG6/BK6</f>
        <v>3.960592255125285</v>
      </c>
      <c r="BS6" s="120">
        <f aca="true" t="shared" si="44" ref="BS6:BS21">BH6/BK6</f>
        <v>0.9164009111617313</v>
      </c>
      <c r="BT6" s="120">
        <f aca="true" t="shared" si="45" ref="BT6:BT21">BI6/BK6</f>
        <v>0</v>
      </c>
      <c r="BU6" s="120">
        <f aca="true" t="shared" si="46" ref="BU6:BU21">BJ6/BK6</f>
        <v>1.613439635535308</v>
      </c>
      <c r="BV6" s="190">
        <f t="shared" si="0"/>
        <v>7.815034168564921</v>
      </c>
      <c r="BW6" s="121">
        <f t="shared" si="1"/>
        <v>3430.8</v>
      </c>
      <c r="BX6" s="122">
        <f aca="true" t="shared" si="47" ref="BX6:BX20">BY6+BZ6</f>
        <v>1477.0414578587702</v>
      </c>
      <c r="BY6" s="121">
        <f t="shared" si="2"/>
        <v>0</v>
      </c>
      <c r="BZ6" s="121">
        <f aca="true" t="shared" si="48" ref="BZ6:BZ20">CA6+CB6+CC6+CD6+CE6</f>
        <v>1477.0414578587702</v>
      </c>
      <c r="CA6" s="121">
        <f t="shared" si="3"/>
        <v>250.34965831435082</v>
      </c>
      <c r="CB6" s="121">
        <f t="shared" si="4"/>
        <v>748.5519362186789</v>
      </c>
      <c r="CC6" s="121">
        <f t="shared" si="5"/>
        <v>173.19977220956721</v>
      </c>
      <c r="CD6" s="121">
        <f t="shared" si="6"/>
        <v>0</v>
      </c>
      <c r="CE6" s="121">
        <f t="shared" si="7"/>
        <v>304.9400911161732</v>
      </c>
      <c r="CF6" s="123">
        <f aca="true" t="shared" si="49" ref="CF6:CF20">CG6+CH6</f>
        <v>1711.4924829157176</v>
      </c>
      <c r="CG6" s="121">
        <f t="shared" si="8"/>
        <v>0</v>
      </c>
      <c r="CH6" s="121">
        <f aca="true" t="shared" si="50" ref="CH6:CH20">CI6+CJ6+CK6+CL6+CM6</f>
        <v>1711.4924829157176</v>
      </c>
      <c r="CI6" s="121">
        <f t="shared" si="9"/>
        <v>290.08769931662874</v>
      </c>
      <c r="CJ6" s="121">
        <f t="shared" si="10"/>
        <v>867.3697038724374</v>
      </c>
      <c r="CK6" s="121">
        <f t="shared" si="11"/>
        <v>200.69179954441915</v>
      </c>
      <c r="CL6" s="121">
        <f t="shared" si="12"/>
        <v>0</v>
      </c>
      <c r="CM6" s="121">
        <f t="shared" si="13"/>
        <v>353.34328018223243</v>
      </c>
      <c r="CN6" s="124">
        <f aca="true" t="shared" si="51" ref="CN6:CN20">CO6+CP6</f>
        <v>242.26605922551255</v>
      </c>
      <c r="CO6" s="121">
        <f t="shared" si="14"/>
        <v>0</v>
      </c>
      <c r="CP6" s="121">
        <f aca="true" t="shared" si="52" ref="CP6:CP20">CQ6+CR6+CS6+CT6+CU6</f>
        <v>242.26605922551255</v>
      </c>
      <c r="CQ6" s="121">
        <f t="shared" si="15"/>
        <v>41.0626423690205</v>
      </c>
      <c r="CR6" s="121">
        <f t="shared" si="16"/>
        <v>122.77835990888383</v>
      </c>
      <c r="CS6" s="121">
        <f t="shared" si="17"/>
        <v>28.40842824601367</v>
      </c>
      <c r="CT6" s="121">
        <f t="shared" si="18"/>
        <v>0</v>
      </c>
      <c r="CU6" s="121">
        <f t="shared" si="19"/>
        <v>50.01662870159455</v>
      </c>
      <c r="CV6" s="121">
        <f aca="true" t="shared" si="53" ref="CV6:CV20">BX6+CF6+CN6</f>
        <v>3430.8</v>
      </c>
      <c r="CW6" s="121">
        <f aca="true" t="shared" si="54" ref="CW6:CW20">BW6-CV6</f>
        <v>0</v>
      </c>
      <c r="CX6" s="191">
        <f aca="true" t="shared" si="55" ref="CX6:CX21">CN6+CF6+BX6</f>
        <v>3430.8</v>
      </c>
      <c r="CY6" s="191">
        <f aca="true" t="shared" si="56" ref="CY6:CY21">BW6-CX6</f>
        <v>0</v>
      </c>
    </row>
    <row r="7" spans="1:103" ht="21">
      <c r="A7" s="125" t="s">
        <v>190</v>
      </c>
      <c r="B7" s="103">
        <v>669.7</v>
      </c>
      <c r="C7" s="103">
        <v>0</v>
      </c>
      <c r="D7" s="103">
        <v>202.3</v>
      </c>
      <c r="E7" s="103">
        <v>6</v>
      </c>
      <c r="F7" s="103">
        <v>0</v>
      </c>
      <c r="G7" s="104">
        <v>2100.9</v>
      </c>
      <c r="H7" s="103">
        <v>405.3</v>
      </c>
      <c r="I7" s="103">
        <v>159.9</v>
      </c>
      <c r="J7" s="103">
        <v>511.7</v>
      </c>
      <c r="K7" s="103">
        <v>0</v>
      </c>
      <c r="L7" s="103">
        <v>204.9</v>
      </c>
      <c r="M7" s="105">
        <f t="shared" si="20"/>
        <v>4260.7</v>
      </c>
      <c r="N7" s="125" t="s">
        <v>145</v>
      </c>
      <c r="O7" s="106">
        <v>642</v>
      </c>
      <c r="P7" s="106">
        <v>296</v>
      </c>
      <c r="Q7" s="106">
        <v>311</v>
      </c>
      <c r="R7" s="106">
        <v>35</v>
      </c>
      <c r="S7" s="107">
        <v>0</v>
      </c>
      <c r="T7" s="107">
        <v>0</v>
      </c>
      <c r="U7" s="108">
        <f t="shared" si="21"/>
        <v>0</v>
      </c>
      <c r="V7" s="109">
        <v>0</v>
      </c>
      <c r="W7" s="109">
        <v>0</v>
      </c>
      <c r="X7" s="110">
        <f t="shared" si="22"/>
        <v>0</v>
      </c>
      <c r="Y7" s="109">
        <v>0</v>
      </c>
      <c r="Z7" s="109">
        <v>0</v>
      </c>
      <c r="AA7" s="111">
        <f t="shared" si="23"/>
        <v>0</v>
      </c>
      <c r="AB7" s="112">
        <f t="shared" si="24"/>
        <v>0</v>
      </c>
      <c r="AC7" s="113">
        <v>2100.9</v>
      </c>
      <c r="AD7" s="51">
        <v>0</v>
      </c>
      <c r="AE7" s="51">
        <v>0</v>
      </c>
      <c r="AF7" s="51">
        <f>9+84.3+31.9+12+2.3+1.8</f>
        <v>141.3</v>
      </c>
      <c r="AG7" s="51">
        <f>13+37.2+15+5+27+0.5+4.3+2+2+3.2+5+12.1+1.5+120</f>
        <v>247.8</v>
      </c>
      <c r="AH7" s="51"/>
      <c r="AI7" s="51">
        <f>10.3+6.4+24.9</f>
        <v>41.6</v>
      </c>
      <c r="AJ7" s="51">
        <v>107.5</v>
      </c>
      <c r="AK7" s="111">
        <f t="shared" si="25"/>
        <v>538.2</v>
      </c>
      <c r="AL7" s="51">
        <f>6+3+25+15+3</f>
        <v>52</v>
      </c>
      <c r="AM7" s="51">
        <v>5.7</v>
      </c>
      <c r="AN7" s="51">
        <f>66.6+2+1.3</f>
        <v>69.89999999999999</v>
      </c>
      <c r="AO7" s="111">
        <f t="shared" si="26"/>
        <v>127.6</v>
      </c>
      <c r="AP7" s="51">
        <v>0</v>
      </c>
      <c r="AQ7" s="114">
        <v>669.7</v>
      </c>
      <c r="AR7" s="114">
        <v>202.3</v>
      </c>
      <c r="AS7" s="111">
        <f t="shared" si="27"/>
        <v>872</v>
      </c>
      <c r="AT7" s="51">
        <f>58+12.2+13.1</f>
        <v>83.3</v>
      </c>
      <c r="AU7" s="51">
        <v>27</v>
      </c>
      <c r="AV7" s="114">
        <v>511.7</v>
      </c>
      <c r="AW7" s="115">
        <f t="shared" si="28"/>
        <v>4260.700000000001</v>
      </c>
      <c r="AX7" s="67">
        <f t="shared" si="29"/>
        <v>4260.700000000001</v>
      </c>
      <c r="AY7" s="51">
        <v>4260.7</v>
      </c>
      <c r="AZ7" s="51">
        <f aca="true" t="shared" si="57" ref="AZ7:AZ20">AX7-AY7</f>
        <v>0</v>
      </c>
      <c r="BA7" s="116">
        <f t="shared" si="30"/>
        <v>0</v>
      </c>
      <c r="BB7" s="51">
        <f t="shared" si="31"/>
        <v>0</v>
      </c>
      <c r="BC7" s="51">
        <f t="shared" si="32"/>
        <v>0</v>
      </c>
      <c r="BD7" s="51">
        <f t="shared" si="33"/>
        <v>0</v>
      </c>
      <c r="BE7" s="117">
        <f t="shared" si="34"/>
        <v>4260.700000000001</v>
      </c>
      <c r="BF7" s="51">
        <f t="shared" si="35"/>
        <v>872</v>
      </c>
      <c r="BG7" s="118">
        <f t="shared" si="36"/>
        <v>2100.9</v>
      </c>
      <c r="BH7" s="51">
        <f t="shared" si="37"/>
        <v>538.2</v>
      </c>
      <c r="BI7" s="51">
        <f t="shared" si="38"/>
        <v>127.6</v>
      </c>
      <c r="BJ7" s="51">
        <f t="shared" si="39"/>
        <v>622.0000000000006</v>
      </c>
      <c r="BK7" s="54">
        <f t="shared" si="40"/>
        <v>642</v>
      </c>
      <c r="BL7" s="52">
        <v>0</v>
      </c>
      <c r="BM7" s="53">
        <v>0</v>
      </c>
      <c r="BN7" s="53">
        <v>0</v>
      </c>
      <c r="BO7" s="53">
        <v>0</v>
      </c>
      <c r="BP7" s="119">
        <f t="shared" si="41"/>
        <v>6.6366043613707175</v>
      </c>
      <c r="BQ7" s="120">
        <f t="shared" si="42"/>
        <v>1.3582554517133956</v>
      </c>
      <c r="BR7" s="120">
        <f t="shared" si="43"/>
        <v>3.2724299065420563</v>
      </c>
      <c r="BS7" s="120">
        <f t="shared" si="44"/>
        <v>0.8383177570093459</v>
      </c>
      <c r="BT7" s="120">
        <f t="shared" si="45"/>
        <v>0.19875389408099686</v>
      </c>
      <c r="BU7" s="120">
        <f t="shared" si="46"/>
        <v>0.968847352024923</v>
      </c>
      <c r="BV7" s="190">
        <f t="shared" si="0"/>
        <v>6.6366043613707175</v>
      </c>
      <c r="BW7" s="121">
        <f t="shared" si="1"/>
        <v>4260.700000000001</v>
      </c>
      <c r="BX7" s="122">
        <f t="shared" si="47"/>
        <v>1964.4348909657324</v>
      </c>
      <c r="BY7" s="121">
        <f t="shared" si="2"/>
        <v>0</v>
      </c>
      <c r="BZ7" s="121">
        <f t="shared" si="48"/>
        <v>1964.4348909657324</v>
      </c>
      <c r="CA7" s="121">
        <f t="shared" si="3"/>
        <v>402.0436137071651</v>
      </c>
      <c r="CB7" s="121">
        <f t="shared" si="4"/>
        <v>968.6392523364486</v>
      </c>
      <c r="CC7" s="121">
        <f t="shared" si="5"/>
        <v>248.14205607476637</v>
      </c>
      <c r="CD7" s="121">
        <f t="shared" si="6"/>
        <v>58.831152647975074</v>
      </c>
      <c r="CE7" s="121">
        <f t="shared" si="7"/>
        <v>286.7788161993772</v>
      </c>
      <c r="CF7" s="123">
        <f t="shared" si="49"/>
        <v>2063.9839563862934</v>
      </c>
      <c r="CG7" s="121">
        <f t="shared" si="8"/>
        <v>0</v>
      </c>
      <c r="CH7" s="121">
        <f t="shared" si="50"/>
        <v>2063.9839563862934</v>
      </c>
      <c r="CI7" s="121">
        <f t="shared" si="9"/>
        <v>422.417445482866</v>
      </c>
      <c r="CJ7" s="121">
        <f t="shared" si="10"/>
        <v>1017.7257009345795</v>
      </c>
      <c r="CK7" s="121">
        <f t="shared" si="11"/>
        <v>260.7168224299066</v>
      </c>
      <c r="CL7" s="121">
        <f t="shared" si="12"/>
        <v>61.81246105919002</v>
      </c>
      <c r="CM7" s="121">
        <f t="shared" si="13"/>
        <v>301.3115264797511</v>
      </c>
      <c r="CN7" s="124">
        <f t="shared" si="51"/>
        <v>232.28115264797512</v>
      </c>
      <c r="CO7" s="121">
        <f t="shared" si="14"/>
        <v>0</v>
      </c>
      <c r="CP7" s="121">
        <f t="shared" si="52"/>
        <v>232.28115264797512</v>
      </c>
      <c r="CQ7" s="121">
        <f t="shared" si="15"/>
        <v>47.53894080996884</v>
      </c>
      <c r="CR7" s="121">
        <f t="shared" si="16"/>
        <v>114.53504672897198</v>
      </c>
      <c r="CS7" s="121">
        <f t="shared" si="17"/>
        <v>29.341121495327105</v>
      </c>
      <c r="CT7" s="121">
        <f t="shared" si="18"/>
        <v>6.95638629283489</v>
      </c>
      <c r="CU7" s="121">
        <f t="shared" si="19"/>
        <v>33.909657320872306</v>
      </c>
      <c r="CV7" s="121">
        <f t="shared" si="53"/>
        <v>4260.700000000001</v>
      </c>
      <c r="CW7" s="121">
        <f t="shared" si="54"/>
        <v>0</v>
      </c>
      <c r="CX7" s="191">
        <f t="shared" si="55"/>
        <v>4260.700000000001</v>
      </c>
      <c r="CY7" s="191">
        <f t="shared" si="56"/>
        <v>0</v>
      </c>
    </row>
    <row r="8" spans="1:103" ht="21">
      <c r="A8" s="125" t="s">
        <v>191</v>
      </c>
      <c r="B8" s="103">
        <v>388.7</v>
      </c>
      <c r="C8" s="103">
        <v>0</v>
      </c>
      <c r="D8" s="103">
        <v>117.4</v>
      </c>
      <c r="E8" s="103">
        <v>6</v>
      </c>
      <c r="F8" s="103">
        <v>0</v>
      </c>
      <c r="G8" s="104">
        <v>1354.7</v>
      </c>
      <c r="H8" s="103">
        <v>230.4</v>
      </c>
      <c r="I8" s="103">
        <v>122.4</v>
      </c>
      <c r="J8" s="103">
        <v>97.8</v>
      </c>
      <c r="K8" s="103">
        <v>0</v>
      </c>
      <c r="L8" s="103">
        <v>223.3</v>
      </c>
      <c r="M8" s="105">
        <f t="shared" si="20"/>
        <v>2540.7000000000007</v>
      </c>
      <c r="N8" s="125" t="s">
        <v>146</v>
      </c>
      <c r="O8" s="106">
        <v>235</v>
      </c>
      <c r="P8" s="106">
        <v>102</v>
      </c>
      <c r="Q8" s="106">
        <v>115</v>
      </c>
      <c r="R8" s="106">
        <v>18</v>
      </c>
      <c r="S8" s="107">
        <v>0</v>
      </c>
      <c r="T8" s="107">
        <v>0</v>
      </c>
      <c r="U8" s="108">
        <f t="shared" si="21"/>
        <v>0</v>
      </c>
      <c r="V8" s="109">
        <v>0</v>
      </c>
      <c r="W8" s="109">
        <v>0</v>
      </c>
      <c r="X8" s="110">
        <f t="shared" si="22"/>
        <v>0</v>
      </c>
      <c r="Y8" s="109">
        <v>0</v>
      </c>
      <c r="Z8" s="109">
        <v>0</v>
      </c>
      <c r="AA8" s="111">
        <f t="shared" si="23"/>
        <v>0</v>
      </c>
      <c r="AB8" s="112">
        <f t="shared" si="24"/>
        <v>0</v>
      </c>
      <c r="AC8" s="113">
        <v>1354.7</v>
      </c>
      <c r="AD8" s="51">
        <v>0</v>
      </c>
      <c r="AE8" s="51">
        <v>0</v>
      </c>
      <c r="AF8" s="51">
        <f>29+12+2.4+2.3+12</f>
        <v>57.699999999999996</v>
      </c>
      <c r="AG8" s="51">
        <f>6.5+24.9+20+4.2+30+23+0.5+4.3+2+2+3.2+5+11.4+9.4+30</f>
        <v>176.4</v>
      </c>
      <c r="AH8" s="51"/>
      <c r="AI8" s="51">
        <f>7+3.4+2.7</f>
        <v>13.100000000000001</v>
      </c>
      <c r="AJ8" s="51">
        <v>21.9</v>
      </c>
      <c r="AK8" s="111">
        <f t="shared" si="25"/>
        <v>269.09999999999997</v>
      </c>
      <c r="AL8" s="51">
        <f>6+2.4+29.4+3+15</f>
        <v>55.8</v>
      </c>
      <c r="AM8" s="51">
        <v>7.2</v>
      </c>
      <c r="AN8" s="51">
        <f>143.9+8.9+1.4+23.1+0.9</f>
        <v>178.20000000000002</v>
      </c>
      <c r="AO8" s="111">
        <f t="shared" si="26"/>
        <v>241.20000000000002</v>
      </c>
      <c r="AP8" s="51">
        <v>0</v>
      </c>
      <c r="AQ8" s="114">
        <v>388.7</v>
      </c>
      <c r="AR8" s="114">
        <v>117.4</v>
      </c>
      <c r="AS8" s="111">
        <f t="shared" si="27"/>
        <v>506.1</v>
      </c>
      <c r="AT8" s="51">
        <f>28+6.4+10.4</f>
        <v>44.8</v>
      </c>
      <c r="AU8" s="51">
        <v>27</v>
      </c>
      <c r="AV8" s="114">
        <v>97.8</v>
      </c>
      <c r="AW8" s="115">
        <f t="shared" si="28"/>
        <v>2540.7000000000003</v>
      </c>
      <c r="AX8" s="67">
        <f t="shared" si="29"/>
        <v>2540.7000000000003</v>
      </c>
      <c r="AY8" s="51">
        <v>2540.7</v>
      </c>
      <c r="AZ8" s="51">
        <f t="shared" si="57"/>
        <v>0</v>
      </c>
      <c r="BA8" s="116">
        <f t="shared" si="30"/>
        <v>0</v>
      </c>
      <c r="BB8" s="51">
        <f t="shared" si="31"/>
        <v>0</v>
      </c>
      <c r="BC8" s="51">
        <f t="shared" si="32"/>
        <v>0</v>
      </c>
      <c r="BD8" s="51">
        <f t="shared" si="33"/>
        <v>0</v>
      </c>
      <c r="BE8" s="117">
        <f t="shared" si="34"/>
        <v>2540.7000000000003</v>
      </c>
      <c r="BF8" s="51">
        <f t="shared" si="35"/>
        <v>506.1</v>
      </c>
      <c r="BG8" s="118">
        <f t="shared" si="36"/>
        <v>1354.7</v>
      </c>
      <c r="BH8" s="51">
        <f t="shared" si="37"/>
        <v>269.09999999999997</v>
      </c>
      <c r="BI8" s="51">
        <f t="shared" si="38"/>
        <v>241.20000000000002</v>
      </c>
      <c r="BJ8" s="51">
        <f t="shared" si="39"/>
        <v>169.60000000000034</v>
      </c>
      <c r="BK8" s="54">
        <f t="shared" si="40"/>
        <v>235</v>
      </c>
      <c r="BL8" s="52">
        <v>0</v>
      </c>
      <c r="BM8" s="53">
        <v>0</v>
      </c>
      <c r="BN8" s="53">
        <v>0</v>
      </c>
      <c r="BO8" s="53">
        <v>0</v>
      </c>
      <c r="BP8" s="119">
        <f t="shared" si="41"/>
        <v>10.81148936170213</v>
      </c>
      <c r="BQ8" s="120">
        <f t="shared" si="42"/>
        <v>2.1536170212765957</v>
      </c>
      <c r="BR8" s="120">
        <f t="shared" si="43"/>
        <v>5.76468085106383</v>
      </c>
      <c r="BS8" s="120">
        <f t="shared" si="44"/>
        <v>1.1451063829787234</v>
      </c>
      <c r="BT8" s="120">
        <f t="shared" si="45"/>
        <v>1.0263829787234042</v>
      </c>
      <c r="BU8" s="120">
        <f t="shared" si="46"/>
        <v>0.7217021276595759</v>
      </c>
      <c r="BV8" s="190">
        <f t="shared" si="0"/>
        <v>10.81148936170213</v>
      </c>
      <c r="BW8" s="121">
        <f t="shared" si="1"/>
        <v>2540.7000000000003</v>
      </c>
      <c r="BX8" s="122">
        <f t="shared" si="47"/>
        <v>1102.7719148936171</v>
      </c>
      <c r="BY8" s="121">
        <f t="shared" si="2"/>
        <v>0</v>
      </c>
      <c r="BZ8" s="121">
        <f t="shared" si="48"/>
        <v>1102.7719148936171</v>
      </c>
      <c r="CA8" s="121">
        <f t="shared" si="3"/>
        <v>219.66893617021276</v>
      </c>
      <c r="CB8" s="121">
        <f t="shared" si="4"/>
        <v>587.9974468085107</v>
      </c>
      <c r="CC8" s="121">
        <f t="shared" si="5"/>
        <v>116.80085106382978</v>
      </c>
      <c r="CD8" s="121">
        <f t="shared" si="6"/>
        <v>104.69106382978723</v>
      </c>
      <c r="CE8" s="121">
        <f t="shared" si="7"/>
        <v>73.61361702127674</v>
      </c>
      <c r="CF8" s="123">
        <f t="shared" si="49"/>
        <v>1243.3212765957448</v>
      </c>
      <c r="CG8" s="121">
        <f t="shared" si="8"/>
        <v>0</v>
      </c>
      <c r="CH8" s="121">
        <f t="shared" si="50"/>
        <v>1243.3212765957448</v>
      </c>
      <c r="CI8" s="121">
        <f t="shared" si="9"/>
        <v>247.6659574468085</v>
      </c>
      <c r="CJ8" s="121">
        <f t="shared" si="10"/>
        <v>662.9382978723405</v>
      </c>
      <c r="CK8" s="121">
        <f t="shared" si="11"/>
        <v>131.6872340425532</v>
      </c>
      <c r="CL8" s="121">
        <f t="shared" si="12"/>
        <v>118.03404255319148</v>
      </c>
      <c r="CM8" s="121">
        <f t="shared" si="13"/>
        <v>82.99574468085123</v>
      </c>
      <c r="CN8" s="124">
        <f t="shared" si="51"/>
        <v>194.6068085106383</v>
      </c>
      <c r="CO8" s="121">
        <f t="shared" si="14"/>
        <v>0</v>
      </c>
      <c r="CP8" s="121">
        <f t="shared" si="52"/>
        <v>194.6068085106383</v>
      </c>
      <c r="CQ8" s="121">
        <f t="shared" si="15"/>
        <v>38.76510638297872</v>
      </c>
      <c r="CR8" s="121">
        <f t="shared" si="16"/>
        <v>103.76425531914894</v>
      </c>
      <c r="CS8" s="121">
        <f t="shared" si="17"/>
        <v>20.61191489361702</v>
      </c>
      <c r="CT8" s="121">
        <f t="shared" si="18"/>
        <v>18.474893617021277</v>
      </c>
      <c r="CU8" s="121">
        <f t="shared" si="19"/>
        <v>12.990638297872366</v>
      </c>
      <c r="CV8" s="121">
        <f t="shared" si="53"/>
        <v>2540.7</v>
      </c>
      <c r="CW8" s="121">
        <f t="shared" si="54"/>
        <v>0</v>
      </c>
      <c r="CX8" s="191">
        <f t="shared" si="55"/>
        <v>2540.7000000000003</v>
      </c>
      <c r="CY8" s="191">
        <f t="shared" si="56"/>
        <v>0</v>
      </c>
    </row>
    <row r="9" spans="1:103" ht="21">
      <c r="A9" s="125" t="s">
        <v>192</v>
      </c>
      <c r="B9" s="103">
        <v>721.3</v>
      </c>
      <c r="C9" s="103">
        <v>0</v>
      </c>
      <c r="D9" s="103">
        <v>217.8</v>
      </c>
      <c r="E9" s="103">
        <v>12</v>
      </c>
      <c r="F9" s="103">
        <v>0</v>
      </c>
      <c r="G9" s="104">
        <v>1137</v>
      </c>
      <c r="H9" s="103">
        <v>502.6</v>
      </c>
      <c r="I9" s="103">
        <v>150.3</v>
      </c>
      <c r="J9" s="103">
        <v>92.5</v>
      </c>
      <c r="K9" s="103">
        <v>0</v>
      </c>
      <c r="L9" s="103">
        <v>456.6</v>
      </c>
      <c r="M9" s="105">
        <f t="shared" si="20"/>
        <v>3290.1</v>
      </c>
      <c r="N9" s="125" t="s">
        <v>147</v>
      </c>
      <c r="O9" s="106">
        <v>130</v>
      </c>
      <c r="P9" s="106">
        <v>53</v>
      </c>
      <c r="Q9" s="106">
        <v>63</v>
      </c>
      <c r="R9" s="106">
        <v>14</v>
      </c>
      <c r="S9" s="107">
        <v>0</v>
      </c>
      <c r="T9" s="107">
        <v>0</v>
      </c>
      <c r="U9" s="108">
        <f t="shared" si="21"/>
        <v>0</v>
      </c>
      <c r="V9" s="109">
        <v>0</v>
      </c>
      <c r="W9" s="109">
        <v>0</v>
      </c>
      <c r="X9" s="110">
        <f t="shared" si="22"/>
        <v>0</v>
      </c>
      <c r="Y9" s="109">
        <v>0</v>
      </c>
      <c r="Z9" s="109">
        <v>0</v>
      </c>
      <c r="AA9" s="111">
        <f t="shared" si="23"/>
        <v>0</v>
      </c>
      <c r="AB9" s="112">
        <f t="shared" si="24"/>
        <v>0</v>
      </c>
      <c r="AC9" s="113">
        <v>1137</v>
      </c>
      <c r="AD9" s="51">
        <v>0</v>
      </c>
      <c r="AE9" s="51">
        <v>0</v>
      </c>
      <c r="AF9" s="51">
        <f>17.8+98.3+32.1+12+3.6+3.9</f>
        <v>167.7</v>
      </c>
      <c r="AG9" s="51">
        <f>6+8.5+24.9+22+17.1+150+32.6+1+8.6+3.1+4+3.2+5+11.7+11.5+37</f>
        <v>346.20000000000005</v>
      </c>
      <c r="AH9" s="51"/>
      <c r="AI9" s="51">
        <f>9.2+3.4+9.3</f>
        <v>21.9</v>
      </c>
      <c r="AJ9" s="51">
        <v>0</v>
      </c>
      <c r="AK9" s="111">
        <f t="shared" si="25"/>
        <v>535.8000000000001</v>
      </c>
      <c r="AL9" s="51">
        <f>12+2.7+58.5+35+6</f>
        <v>114.2</v>
      </c>
      <c r="AM9" s="51">
        <v>14.7</v>
      </c>
      <c r="AN9" s="51">
        <f>316.3+34.5+24.1+9.7</f>
        <v>384.6</v>
      </c>
      <c r="AO9" s="111">
        <f t="shared" si="26"/>
        <v>513.5</v>
      </c>
      <c r="AP9" s="51">
        <v>0</v>
      </c>
      <c r="AQ9" s="114">
        <v>721.3</v>
      </c>
      <c r="AR9" s="114">
        <v>217.8</v>
      </c>
      <c r="AS9" s="111">
        <f t="shared" si="27"/>
        <v>939.0999999999999</v>
      </c>
      <c r="AT9" s="51">
        <f>39.5+20.8+9.2</f>
        <v>69.5</v>
      </c>
      <c r="AU9" s="51">
        <v>2.7</v>
      </c>
      <c r="AV9" s="114">
        <v>92.5</v>
      </c>
      <c r="AW9" s="115">
        <f t="shared" si="28"/>
        <v>3290.1</v>
      </c>
      <c r="AX9" s="67">
        <f t="shared" si="29"/>
        <v>3290.1</v>
      </c>
      <c r="AY9" s="51">
        <v>3290.1</v>
      </c>
      <c r="AZ9" s="51">
        <f t="shared" si="57"/>
        <v>0</v>
      </c>
      <c r="BA9" s="116">
        <f t="shared" si="30"/>
        <v>0</v>
      </c>
      <c r="BB9" s="51">
        <f t="shared" si="31"/>
        <v>0</v>
      </c>
      <c r="BC9" s="51">
        <f t="shared" si="32"/>
        <v>0</v>
      </c>
      <c r="BD9" s="51">
        <f t="shared" si="33"/>
        <v>0</v>
      </c>
      <c r="BE9" s="117">
        <f t="shared" si="34"/>
        <v>3290.1</v>
      </c>
      <c r="BF9" s="51">
        <f t="shared" si="35"/>
        <v>939.0999999999999</v>
      </c>
      <c r="BG9" s="118">
        <f t="shared" si="36"/>
        <v>1137</v>
      </c>
      <c r="BH9" s="51">
        <f t="shared" si="37"/>
        <v>535.8000000000001</v>
      </c>
      <c r="BI9" s="51">
        <f t="shared" si="38"/>
        <v>513.5</v>
      </c>
      <c r="BJ9" s="51">
        <f t="shared" si="39"/>
        <v>164.69999999999993</v>
      </c>
      <c r="BK9" s="54">
        <f t="shared" si="40"/>
        <v>130</v>
      </c>
      <c r="BL9" s="52">
        <v>0</v>
      </c>
      <c r="BM9" s="53">
        <v>0</v>
      </c>
      <c r="BN9" s="53">
        <v>0</v>
      </c>
      <c r="BO9" s="53">
        <v>0</v>
      </c>
      <c r="BP9" s="119">
        <f t="shared" si="41"/>
        <v>25.30846153846154</v>
      </c>
      <c r="BQ9" s="120">
        <f t="shared" si="42"/>
        <v>7.223846153846154</v>
      </c>
      <c r="BR9" s="120">
        <f t="shared" si="43"/>
        <v>8.746153846153845</v>
      </c>
      <c r="BS9" s="120">
        <f t="shared" si="44"/>
        <v>4.121538461538462</v>
      </c>
      <c r="BT9" s="120">
        <f t="shared" si="45"/>
        <v>3.95</v>
      </c>
      <c r="BU9" s="120">
        <f t="shared" si="46"/>
        <v>1.2669230769230764</v>
      </c>
      <c r="BV9" s="190">
        <f t="shared" si="0"/>
        <v>25.30846153846154</v>
      </c>
      <c r="BW9" s="121">
        <f t="shared" si="1"/>
        <v>3290.1000000000004</v>
      </c>
      <c r="BX9" s="122">
        <f t="shared" si="47"/>
        <v>1341.3484615384614</v>
      </c>
      <c r="BY9" s="121">
        <f t="shared" si="2"/>
        <v>0</v>
      </c>
      <c r="BZ9" s="121">
        <f t="shared" si="48"/>
        <v>1341.3484615384614</v>
      </c>
      <c r="CA9" s="121">
        <f t="shared" si="3"/>
        <v>382.8638461538461</v>
      </c>
      <c r="CB9" s="121">
        <f t="shared" si="4"/>
        <v>463.5461538461538</v>
      </c>
      <c r="CC9" s="121">
        <f t="shared" si="5"/>
        <v>218.44153846153847</v>
      </c>
      <c r="CD9" s="121">
        <f t="shared" si="6"/>
        <v>209.35000000000002</v>
      </c>
      <c r="CE9" s="121">
        <f t="shared" si="7"/>
        <v>67.14692307692304</v>
      </c>
      <c r="CF9" s="123">
        <f t="shared" si="49"/>
        <v>1594.4330769230767</v>
      </c>
      <c r="CG9" s="121">
        <f t="shared" si="8"/>
        <v>0</v>
      </c>
      <c r="CH9" s="121">
        <f t="shared" si="50"/>
        <v>1594.4330769230767</v>
      </c>
      <c r="CI9" s="121">
        <f t="shared" si="9"/>
        <v>455.1023076923077</v>
      </c>
      <c r="CJ9" s="121">
        <f t="shared" si="10"/>
        <v>551.0076923076922</v>
      </c>
      <c r="CK9" s="121">
        <f t="shared" si="11"/>
        <v>259.6569230769231</v>
      </c>
      <c r="CL9" s="121">
        <f t="shared" si="12"/>
        <v>248.85000000000002</v>
      </c>
      <c r="CM9" s="121">
        <f t="shared" si="13"/>
        <v>79.81615384615381</v>
      </c>
      <c r="CN9" s="124">
        <f t="shared" si="51"/>
        <v>354.3184615384615</v>
      </c>
      <c r="CO9" s="121">
        <f t="shared" si="14"/>
        <v>0</v>
      </c>
      <c r="CP9" s="121">
        <f t="shared" si="52"/>
        <v>354.3184615384615</v>
      </c>
      <c r="CQ9" s="121">
        <f t="shared" si="15"/>
        <v>101.13384615384615</v>
      </c>
      <c r="CR9" s="121">
        <f t="shared" si="16"/>
        <v>122.44615384615383</v>
      </c>
      <c r="CS9" s="121">
        <f t="shared" si="17"/>
        <v>57.70153846153846</v>
      </c>
      <c r="CT9" s="121">
        <f t="shared" si="18"/>
        <v>55.300000000000004</v>
      </c>
      <c r="CU9" s="121">
        <f t="shared" si="19"/>
        <v>17.73692307692307</v>
      </c>
      <c r="CV9" s="121">
        <f t="shared" si="53"/>
        <v>3290.0999999999995</v>
      </c>
      <c r="CW9" s="121">
        <f t="shared" si="54"/>
        <v>0</v>
      </c>
      <c r="CX9" s="191">
        <f t="shared" si="55"/>
        <v>3290.0999999999995</v>
      </c>
      <c r="CY9" s="191">
        <f t="shared" si="56"/>
        <v>0</v>
      </c>
    </row>
    <row r="10" spans="1:103" ht="21">
      <c r="A10" s="125" t="s">
        <v>193</v>
      </c>
      <c r="B10" s="103">
        <v>627.5</v>
      </c>
      <c r="C10" s="103">
        <v>0</v>
      </c>
      <c r="D10" s="103">
        <v>189.5</v>
      </c>
      <c r="E10" s="103">
        <v>12</v>
      </c>
      <c r="F10" s="103">
        <v>0</v>
      </c>
      <c r="G10" s="104">
        <v>1691.5</v>
      </c>
      <c r="H10" s="103">
        <v>245.9</v>
      </c>
      <c r="I10" s="103">
        <v>206.4</v>
      </c>
      <c r="J10" s="103">
        <v>37.8</v>
      </c>
      <c r="K10" s="103">
        <v>0</v>
      </c>
      <c r="L10" s="103">
        <v>451.9</v>
      </c>
      <c r="M10" s="105">
        <f t="shared" si="20"/>
        <v>3462.5000000000005</v>
      </c>
      <c r="N10" s="125" t="s">
        <v>148</v>
      </c>
      <c r="O10" s="106">
        <v>568</v>
      </c>
      <c r="P10" s="106">
        <v>255</v>
      </c>
      <c r="Q10" s="106">
        <v>287</v>
      </c>
      <c r="R10" s="106">
        <v>26</v>
      </c>
      <c r="S10" s="107">
        <v>0</v>
      </c>
      <c r="T10" s="107">
        <v>0</v>
      </c>
      <c r="U10" s="108">
        <f t="shared" si="21"/>
        <v>0</v>
      </c>
      <c r="V10" s="109">
        <v>0</v>
      </c>
      <c r="W10" s="109">
        <v>0</v>
      </c>
      <c r="X10" s="110">
        <f t="shared" si="22"/>
        <v>0</v>
      </c>
      <c r="Y10" s="109">
        <v>0</v>
      </c>
      <c r="Z10" s="109">
        <v>0</v>
      </c>
      <c r="AA10" s="111">
        <f t="shared" si="23"/>
        <v>0</v>
      </c>
      <c r="AB10" s="112">
        <f t="shared" si="24"/>
        <v>0</v>
      </c>
      <c r="AC10" s="113">
        <v>1691.5</v>
      </c>
      <c r="AD10" s="51">
        <v>0</v>
      </c>
      <c r="AE10" s="51">
        <v>0</v>
      </c>
      <c r="AF10" s="51">
        <f>15+33.5+12+1.8+2.3</f>
        <v>64.6</v>
      </c>
      <c r="AG10" s="51">
        <f>6.1+24.9+25+26.4+20+1+8.6+2.9+2+3.2+5+11.7+34.3+35</f>
        <v>206.10000000000002</v>
      </c>
      <c r="AH10" s="51"/>
      <c r="AI10" s="51">
        <f>13.9+7.9+10.3</f>
        <v>32.1</v>
      </c>
      <c r="AJ10" s="51">
        <v>33.8</v>
      </c>
      <c r="AK10" s="111">
        <f t="shared" si="25"/>
        <v>336.6000000000001</v>
      </c>
      <c r="AL10" s="51">
        <f>30+2.4+20.9+6+12</f>
        <v>71.3</v>
      </c>
      <c r="AM10" s="51">
        <v>14.7</v>
      </c>
      <c r="AN10" s="51">
        <f>162.8+190.3+11.5+0.7+3.4+18.3</f>
        <v>387</v>
      </c>
      <c r="AO10" s="111">
        <f t="shared" si="26"/>
        <v>473</v>
      </c>
      <c r="AP10" s="51">
        <v>0</v>
      </c>
      <c r="AQ10" s="114">
        <v>627.5</v>
      </c>
      <c r="AR10" s="114">
        <v>189.5</v>
      </c>
      <c r="AS10" s="111">
        <f t="shared" si="27"/>
        <v>817</v>
      </c>
      <c r="AT10" s="51">
        <f>44.4+20.8+14.4</f>
        <v>79.60000000000001</v>
      </c>
      <c r="AU10" s="51">
        <v>27</v>
      </c>
      <c r="AV10" s="114">
        <v>37.8</v>
      </c>
      <c r="AW10" s="115">
        <f t="shared" si="28"/>
        <v>3462.5000000000005</v>
      </c>
      <c r="AX10" s="67">
        <f t="shared" si="29"/>
        <v>3462.5000000000005</v>
      </c>
      <c r="AY10" s="51">
        <v>3462.5</v>
      </c>
      <c r="AZ10" s="51">
        <f t="shared" si="57"/>
        <v>0</v>
      </c>
      <c r="BA10" s="116">
        <f t="shared" si="30"/>
        <v>0</v>
      </c>
      <c r="BB10" s="51">
        <f t="shared" si="31"/>
        <v>0</v>
      </c>
      <c r="BC10" s="51">
        <f t="shared" si="32"/>
        <v>0</v>
      </c>
      <c r="BD10" s="51">
        <f t="shared" si="33"/>
        <v>0</v>
      </c>
      <c r="BE10" s="117">
        <f t="shared" si="34"/>
        <v>3462.5000000000005</v>
      </c>
      <c r="BF10" s="51">
        <f t="shared" si="35"/>
        <v>817</v>
      </c>
      <c r="BG10" s="118">
        <f t="shared" si="36"/>
        <v>1691.5</v>
      </c>
      <c r="BH10" s="51">
        <f t="shared" si="37"/>
        <v>336.6000000000001</v>
      </c>
      <c r="BI10" s="51">
        <f t="shared" si="38"/>
        <v>473</v>
      </c>
      <c r="BJ10" s="51">
        <f t="shared" si="39"/>
        <v>144.40000000000032</v>
      </c>
      <c r="BK10" s="54">
        <f t="shared" si="40"/>
        <v>568</v>
      </c>
      <c r="BL10" s="52">
        <v>0</v>
      </c>
      <c r="BM10" s="53">
        <v>0</v>
      </c>
      <c r="BN10" s="53">
        <v>0</v>
      </c>
      <c r="BO10" s="53">
        <v>0</v>
      </c>
      <c r="BP10" s="119">
        <f t="shared" si="41"/>
        <v>6.095950704225353</v>
      </c>
      <c r="BQ10" s="120">
        <f t="shared" si="42"/>
        <v>1.4383802816901408</v>
      </c>
      <c r="BR10" s="120">
        <f t="shared" si="43"/>
        <v>2.977992957746479</v>
      </c>
      <c r="BS10" s="120">
        <f t="shared" si="44"/>
        <v>0.5926056338028171</v>
      </c>
      <c r="BT10" s="120">
        <f t="shared" si="45"/>
        <v>0.8327464788732394</v>
      </c>
      <c r="BU10" s="120">
        <f t="shared" si="46"/>
        <v>0.2542253521126766</v>
      </c>
      <c r="BV10" s="190">
        <f t="shared" si="0"/>
        <v>6.095950704225353</v>
      </c>
      <c r="BW10" s="121">
        <f t="shared" si="1"/>
        <v>3462.5000000000005</v>
      </c>
      <c r="BX10" s="122">
        <f t="shared" si="47"/>
        <v>1554.4674295774653</v>
      </c>
      <c r="BY10" s="121">
        <f t="shared" si="2"/>
        <v>0</v>
      </c>
      <c r="BZ10" s="121">
        <f t="shared" si="48"/>
        <v>1554.4674295774653</v>
      </c>
      <c r="CA10" s="121">
        <f t="shared" si="3"/>
        <v>366.7869718309859</v>
      </c>
      <c r="CB10" s="121">
        <f t="shared" si="4"/>
        <v>759.3882042253522</v>
      </c>
      <c r="CC10" s="121">
        <f t="shared" si="5"/>
        <v>151.11443661971836</v>
      </c>
      <c r="CD10" s="121">
        <f t="shared" si="6"/>
        <v>212.35035211267603</v>
      </c>
      <c r="CE10" s="121">
        <f t="shared" si="7"/>
        <v>64.82746478873254</v>
      </c>
      <c r="CF10" s="123">
        <f t="shared" si="49"/>
        <v>1749.5378521126763</v>
      </c>
      <c r="CG10" s="121">
        <f t="shared" si="8"/>
        <v>0</v>
      </c>
      <c r="CH10" s="121">
        <f t="shared" si="50"/>
        <v>1749.5378521126763</v>
      </c>
      <c r="CI10" s="121">
        <f t="shared" si="9"/>
        <v>412.8151408450704</v>
      </c>
      <c r="CJ10" s="121">
        <f t="shared" si="10"/>
        <v>854.6839788732394</v>
      </c>
      <c r="CK10" s="121">
        <f t="shared" si="11"/>
        <v>170.07781690140848</v>
      </c>
      <c r="CL10" s="121">
        <f t="shared" si="12"/>
        <v>238.9982394366197</v>
      </c>
      <c r="CM10" s="121">
        <f t="shared" si="13"/>
        <v>72.96267605633818</v>
      </c>
      <c r="CN10" s="124">
        <f t="shared" si="51"/>
        <v>158.49471830985914</v>
      </c>
      <c r="CO10" s="121">
        <f t="shared" si="14"/>
        <v>0</v>
      </c>
      <c r="CP10" s="121">
        <f t="shared" si="52"/>
        <v>158.49471830985914</v>
      </c>
      <c r="CQ10" s="121">
        <f t="shared" si="15"/>
        <v>37.39788732394366</v>
      </c>
      <c r="CR10" s="121">
        <f t="shared" si="16"/>
        <v>77.42781690140845</v>
      </c>
      <c r="CS10" s="121">
        <f t="shared" si="17"/>
        <v>15.407746478873243</v>
      </c>
      <c r="CT10" s="121">
        <f t="shared" si="18"/>
        <v>21.651408450704224</v>
      </c>
      <c r="CU10" s="121">
        <f t="shared" si="19"/>
        <v>6.609859154929592</v>
      </c>
      <c r="CV10" s="121">
        <f t="shared" si="53"/>
        <v>3462.500000000001</v>
      </c>
      <c r="CW10" s="121">
        <f t="shared" si="54"/>
        <v>0</v>
      </c>
      <c r="CX10" s="191">
        <f t="shared" si="55"/>
        <v>3462.500000000001</v>
      </c>
      <c r="CY10" s="191">
        <f t="shared" si="56"/>
        <v>0</v>
      </c>
    </row>
    <row r="11" spans="1:103" ht="21">
      <c r="A11" s="125" t="s">
        <v>194</v>
      </c>
      <c r="B11" s="103">
        <v>756.5</v>
      </c>
      <c r="C11" s="103">
        <v>0</v>
      </c>
      <c r="D11" s="103">
        <v>228.5</v>
      </c>
      <c r="E11" s="103">
        <v>12</v>
      </c>
      <c r="F11" s="103">
        <v>0</v>
      </c>
      <c r="G11" s="104">
        <v>501.1</v>
      </c>
      <c r="H11" s="103">
        <v>300.9</v>
      </c>
      <c r="I11" s="103">
        <v>122</v>
      </c>
      <c r="J11" s="103">
        <v>49.9</v>
      </c>
      <c r="K11" s="103">
        <v>0</v>
      </c>
      <c r="L11" s="103">
        <v>660.4</v>
      </c>
      <c r="M11" s="105">
        <f t="shared" si="20"/>
        <v>2631.3</v>
      </c>
      <c r="N11" s="125" t="s">
        <v>149</v>
      </c>
      <c r="O11" s="106">
        <v>127</v>
      </c>
      <c r="P11" s="106">
        <v>51</v>
      </c>
      <c r="Q11" s="106">
        <v>68</v>
      </c>
      <c r="R11" s="106">
        <v>8</v>
      </c>
      <c r="S11" s="107">
        <v>0</v>
      </c>
      <c r="T11" s="107">
        <v>0</v>
      </c>
      <c r="U11" s="108">
        <f t="shared" si="21"/>
        <v>0</v>
      </c>
      <c r="V11" s="109">
        <v>0</v>
      </c>
      <c r="W11" s="109">
        <v>0</v>
      </c>
      <c r="X11" s="110">
        <f t="shared" si="22"/>
        <v>0</v>
      </c>
      <c r="Y11" s="109">
        <v>0</v>
      </c>
      <c r="Z11" s="109">
        <v>0</v>
      </c>
      <c r="AA11" s="111">
        <f t="shared" si="23"/>
        <v>0</v>
      </c>
      <c r="AB11" s="112">
        <f t="shared" si="24"/>
        <v>0</v>
      </c>
      <c r="AC11" s="113">
        <v>501.1</v>
      </c>
      <c r="AD11" s="51">
        <v>0</v>
      </c>
      <c r="AE11" s="51">
        <v>0</v>
      </c>
      <c r="AF11" s="51">
        <f>6+86.4+30.4+12+1.8+3.1</f>
        <v>139.70000000000002</v>
      </c>
      <c r="AG11" s="51">
        <f>24.9+32+16.3+15+5+20+1+4.3+2+2+3.2+5+11.7+34+6.8</f>
        <v>183.2</v>
      </c>
      <c r="AH11" s="51"/>
      <c r="AI11" s="51">
        <f>5.3+3.4+1.8</f>
        <v>10.5</v>
      </c>
      <c r="AJ11" s="51">
        <v>9</v>
      </c>
      <c r="AK11" s="111">
        <f t="shared" si="25"/>
        <v>342.4</v>
      </c>
      <c r="AL11" s="51">
        <f>12+3+27.3+15+3</f>
        <v>60.3</v>
      </c>
      <c r="AM11" s="51">
        <v>14.7</v>
      </c>
      <c r="AN11" s="51">
        <f>532.5+23+8.2+25.6+2.1+19.9</f>
        <v>611.3000000000001</v>
      </c>
      <c r="AO11" s="111">
        <f t="shared" si="26"/>
        <v>686.3000000000001</v>
      </c>
      <c r="AP11" s="51">
        <v>0</v>
      </c>
      <c r="AQ11" s="114">
        <v>756.5</v>
      </c>
      <c r="AR11" s="114">
        <v>228.5</v>
      </c>
      <c r="AS11" s="111">
        <f t="shared" si="27"/>
        <v>985</v>
      </c>
      <c r="AT11" s="51">
        <f>31.5+20.8+11.6</f>
        <v>63.9</v>
      </c>
      <c r="AU11" s="51">
        <v>2.7</v>
      </c>
      <c r="AV11" s="114">
        <v>49.9</v>
      </c>
      <c r="AW11" s="115">
        <f t="shared" si="28"/>
        <v>2631.3</v>
      </c>
      <c r="AX11" s="67">
        <f t="shared" si="29"/>
        <v>2631.3</v>
      </c>
      <c r="AY11" s="51">
        <v>2631.3</v>
      </c>
      <c r="AZ11" s="51">
        <f t="shared" si="57"/>
        <v>0</v>
      </c>
      <c r="BA11" s="116">
        <f t="shared" si="30"/>
        <v>0</v>
      </c>
      <c r="BB11" s="51">
        <f t="shared" si="31"/>
        <v>0</v>
      </c>
      <c r="BC11" s="51">
        <f t="shared" si="32"/>
        <v>0</v>
      </c>
      <c r="BD11" s="51">
        <f t="shared" si="33"/>
        <v>0</v>
      </c>
      <c r="BE11" s="117">
        <f t="shared" si="34"/>
        <v>2631.3</v>
      </c>
      <c r="BF11" s="51">
        <f t="shared" si="35"/>
        <v>985</v>
      </c>
      <c r="BG11" s="118">
        <f t="shared" si="36"/>
        <v>501.1</v>
      </c>
      <c r="BH11" s="51">
        <f t="shared" si="37"/>
        <v>342.4</v>
      </c>
      <c r="BI11" s="51">
        <f t="shared" si="38"/>
        <v>686.3000000000001</v>
      </c>
      <c r="BJ11" s="51">
        <f t="shared" si="39"/>
        <v>116.50000000000023</v>
      </c>
      <c r="BK11" s="54">
        <f t="shared" si="40"/>
        <v>127</v>
      </c>
      <c r="BL11" s="52">
        <v>0</v>
      </c>
      <c r="BM11" s="53">
        <v>0</v>
      </c>
      <c r="BN11" s="53">
        <v>0</v>
      </c>
      <c r="BO11" s="53">
        <v>0</v>
      </c>
      <c r="BP11" s="119">
        <f t="shared" si="41"/>
        <v>20.718897637795276</v>
      </c>
      <c r="BQ11" s="120">
        <f t="shared" si="42"/>
        <v>7.755905511811024</v>
      </c>
      <c r="BR11" s="120">
        <f t="shared" si="43"/>
        <v>3.9456692913385827</v>
      </c>
      <c r="BS11" s="120">
        <f t="shared" si="44"/>
        <v>2.696062992125984</v>
      </c>
      <c r="BT11" s="120">
        <f t="shared" si="45"/>
        <v>5.403937007874016</v>
      </c>
      <c r="BU11" s="120">
        <f t="shared" si="46"/>
        <v>0.9173228346456711</v>
      </c>
      <c r="BV11" s="190">
        <f t="shared" si="0"/>
        <v>20.718897637795276</v>
      </c>
      <c r="BW11" s="121">
        <f t="shared" si="1"/>
        <v>2631.3</v>
      </c>
      <c r="BX11" s="122">
        <f t="shared" si="47"/>
        <v>1056.6637795275592</v>
      </c>
      <c r="BY11" s="121">
        <f t="shared" si="2"/>
        <v>0</v>
      </c>
      <c r="BZ11" s="121">
        <f t="shared" si="48"/>
        <v>1056.6637795275592</v>
      </c>
      <c r="CA11" s="121">
        <f t="shared" si="3"/>
        <v>395.55118110236225</v>
      </c>
      <c r="CB11" s="121">
        <f t="shared" si="4"/>
        <v>201.22913385826772</v>
      </c>
      <c r="CC11" s="121">
        <f t="shared" si="5"/>
        <v>137.49921259842517</v>
      </c>
      <c r="CD11" s="121">
        <f t="shared" si="6"/>
        <v>275.60078740157485</v>
      </c>
      <c r="CE11" s="121">
        <f t="shared" si="7"/>
        <v>46.783464566929226</v>
      </c>
      <c r="CF11" s="123">
        <f t="shared" si="49"/>
        <v>1408.8850393700789</v>
      </c>
      <c r="CG11" s="121">
        <f t="shared" si="8"/>
        <v>0</v>
      </c>
      <c r="CH11" s="121">
        <f t="shared" si="50"/>
        <v>1408.8850393700789</v>
      </c>
      <c r="CI11" s="121">
        <f t="shared" si="9"/>
        <v>527.4015748031496</v>
      </c>
      <c r="CJ11" s="121">
        <f t="shared" si="10"/>
        <v>268.3055118110236</v>
      </c>
      <c r="CK11" s="121">
        <f t="shared" si="11"/>
        <v>183.3322834645669</v>
      </c>
      <c r="CL11" s="121">
        <f t="shared" si="12"/>
        <v>367.4677165354331</v>
      </c>
      <c r="CM11" s="121">
        <f t="shared" si="13"/>
        <v>62.37795275590563</v>
      </c>
      <c r="CN11" s="124">
        <f t="shared" si="51"/>
        <v>165.7511811023622</v>
      </c>
      <c r="CO11" s="121">
        <f t="shared" si="14"/>
        <v>0</v>
      </c>
      <c r="CP11" s="121">
        <f t="shared" si="52"/>
        <v>165.7511811023622</v>
      </c>
      <c r="CQ11" s="121">
        <f t="shared" si="15"/>
        <v>62.04724409448819</v>
      </c>
      <c r="CR11" s="121">
        <f t="shared" si="16"/>
        <v>31.56535433070866</v>
      </c>
      <c r="CS11" s="121">
        <f t="shared" si="17"/>
        <v>21.568503937007872</v>
      </c>
      <c r="CT11" s="121">
        <f t="shared" si="18"/>
        <v>43.23149606299213</v>
      </c>
      <c r="CU11" s="121">
        <f t="shared" si="19"/>
        <v>7.338582677165369</v>
      </c>
      <c r="CV11" s="121">
        <f t="shared" si="53"/>
        <v>2631.3</v>
      </c>
      <c r="CW11" s="121">
        <f t="shared" si="54"/>
        <v>0</v>
      </c>
      <c r="CX11" s="191">
        <f t="shared" si="55"/>
        <v>2631.3</v>
      </c>
      <c r="CY11" s="191">
        <f t="shared" si="56"/>
        <v>0</v>
      </c>
    </row>
    <row r="12" spans="1:103" ht="21">
      <c r="A12" s="125" t="s">
        <v>195</v>
      </c>
      <c r="B12" s="103">
        <v>439.9</v>
      </c>
      <c r="C12" s="103">
        <v>0</v>
      </c>
      <c r="D12" s="103">
        <v>132.9</v>
      </c>
      <c r="E12" s="103">
        <v>6</v>
      </c>
      <c r="F12" s="103">
        <v>0</v>
      </c>
      <c r="G12" s="104">
        <v>1105.9</v>
      </c>
      <c r="H12" s="103">
        <v>264</v>
      </c>
      <c r="I12" s="103">
        <v>109.1</v>
      </c>
      <c r="J12" s="103">
        <v>41.2</v>
      </c>
      <c r="K12" s="103">
        <v>0</v>
      </c>
      <c r="L12" s="103">
        <v>252.2</v>
      </c>
      <c r="M12" s="105">
        <f t="shared" si="20"/>
        <v>2351.2</v>
      </c>
      <c r="N12" s="125" t="s">
        <v>150</v>
      </c>
      <c r="O12" s="106">
        <v>248</v>
      </c>
      <c r="P12" s="106">
        <v>100</v>
      </c>
      <c r="Q12" s="106">
        <v>132</v>
      </c>
      <c r="R12" s="106">
        <v>16</v>
      </c>
      <c r="S12" s="107">
        <v>0</v>
      </c>
      <c r="T12" s="107">
        <v>0</v>
      </c>
      <c r="U12" s="108">
        <f t="shared" si="21"/>
        <v>0</v>
      </c>
      <c r="V12" s="109">
        <v>0</v>
      </c>
      <c r="W12" s="109">
        <v>0</v>
      </c>
      <c r="X12" s="110">
        <f t="shared" si="22"/>
        <v>0</v>
      </c>
      <c r="Y12" s="109">
        <v>0</v>
      </c>
      <c r="Z12" s="109">
        <v>0</v>
      </c>
      <c r="AA12" s="111">
        <f t="shared" si="23"/>
        <v>0</v>
      </c>
      <c r="AB12" s="112">
        <f t="shared" si="24"/>
        <v>0</v>
      </c>
      <c r="AC12" s="113">
        <v>1105.9</v>
      </c>
      <c r="AD12" s="51">
        <v>0</v>
      </c>
      <c r="AE12" s="51">
        <v>0</v>
      </c>
      <c r="AF12" s="51">
        <f>7+84.3+23.5+12+2.3+1.8</f>
        <v>130.9</v>
      </c>
      <c r="AG12" s="51">
        <f>7+24.9+23.8+5+23+0.5+4.3+2+2+3.2+5+11.4+6.2+30</f>
        <v>148.3</v>
      </c>
      <c r="AH12" s="51"/>
      <c r="AI12" s="51">
        <f>5.3+3.4+2.6</f>
        <v>11.299999999999999</v>
      </c>
      <c r="AJ12" s="51">
        <v>9</v>
      </c>
      <c r="AK12" s="111">
        <f t="shared" si="25"/>
        <v>299.50000000000006</v>
      </c>
      <c r="AL12" s="51">
        <f>15+29.3+3+2.4+6</f>
        <v>55.699999999999996</v>
      </c>
      <c r="AM12" s="51">
        <v>5.7</v>
      </c>
      <c r="AN12" s="51">
        <f>181.4+15.6+1.5+6.9+1.8</f>
        <v>207.20000000000002</v>
      </c>
      <c r="AO12" s="111">
        <f t="shared" si="26"/>
        <v>268.6</v>
      </c>
      <c r="AP12" s="51">
        <v>0</v>
      </c>
      <c r="AQ12" s="114">
        <v>439.9</v>
      </c>
      <c r="AR12" s="114">
        <v>132.9</v>
      </c>
      <c r="AS12" s="111">
        <f t="shared" si="27"/>
        <v>572.8</v>
      </c>
      <c r="AT12" s="51">
        <f>26.3+10.4+8.5</f>
        <v>45.2</v>
      </c>
      <c r="AU12" s="51">
        <v>18</v>
      </c>
      <c r="AV12" s="114">
        <v>41.2</v>
      </c>
      <c r="AW12" s="115">
        <f t="shared" si="28"/>
        <v>2351.2</v>
      </c>
      <c r="AX12" s="67">
        <f t="shared" si="29"/>
        <v>2351.2</v>
      </c>
      <c r="AY12" s="51">
        <v>2351.2</v>
      </c>
      <c r="AZ12" s="51">
        <f t="shared" si="57"/>
        <v>0</v>
      </c>
      <c r="BA12" s="116">
        <f t="shared" si="30"/>
        <v>0</v>
      </c>
      <c r="BB12" s="51">
        <f t="shared" si="31"/>
        <v>0</v>
      </c>
      <c r="BC12" s="51">
        <f t="shared" si="32"/>
        <v>0</v>
      </c>
      <c r="BD12" s="51">
        <f t="shared" si="33"/>
        <v>0</v>
      </c>
      <c r="BE12" s="117">
        <f t="shared" si="34"/>
        <v>2351.2</v>
      </c>
      <c r="BF12" s="51">
        <f t="shared" si="35"/>
        <v>572.8</v>
      </c>
      <c r="BG12" s="118">
        <f t="shared" si="36"/>
        <v>1105.9</v>
      </c>
      <c r="BH12" s="51">
        <f t="shared" si="37"/>
        <v>299.50000000000006</v>
      </c>
      <c r="BI12" s="51">
        <f t="shared" si="38"/>
        <v>268.6</v>
      </c>
      <c r="BJ12" s="51">
        <f t="shared" si="39"/>
        <v>104.3999999999997</v>
      </c>
      <c r="BK12" s="54">
        <f t="shared" si="40"/>
        <v>248</v>
      </c>
      <c r="BL12" s="52">
        <v>0</v>
      </c>
      <c r="BM12" s="53">
        <v>0</v>
      </c>
      <c r="BN12" s="53">
        <v>0</v>
      </c>
      <c r="BO12" s="53">
        <v>0</v>
      </c>
      <c r="BP12" s="119">
        <f t="shared" si="41"/>
        <v>9.480645161290322</v>
      </c>
      <c r="BQ12" s="120">
        <f t="shared" si="42"/>
        <v>2.3096774193548386</v>
      </c>
      <c r="BR12" s="120">
        <f t="shared" si="43"/>
        <v>4.459274193548388</v>
      </c>
      <c r="BS12" s="120">
        <f t="shared" si="44"/>
        <v>1.207661290322581</v>
      </c>
      <c r="BT12" s="120">
        <f t="shared" si="45"/>
        <v>1.0830645161290324</v>
      </c>
      <c r="BU12" s="120">
        <f t="shared" si="46"/>
        <v>0.42096774193548264</v>
      </c>
      <c r="BV12" s="190">
        <f t="shared" si="0"/>
        <v>9.480645161290322</v>
      </c>
      <c r="BW12" s="121">
        <f t="shared" si="1"/>
        <v>2351.2</v>
      </c>
      <c r="BX12" s="122">
        <f t="shared" si="47"/>
        <v>948.0645161290323</v>
      </c>
      <c r="BY12" s="121">
        <f t="shared" si="2"/>
        <v>0</v>
      </c>
      <c r="BZ12" s="121">
        <f t="shared" si="48"/>
        <v>948.0645161290323</v>
      </c>
      <c r="CA12" s="121">
        <f t="shared" si="3"/>
        <v>230.96774193548387</v>
      </c>
      <c r="CB12" s="121">
        <f t="shared" si="4"/>
        <v>445.9274193548388</v>
      </c>
      <c r="CC12" s="121">
        <f t="shared" si="5"/>
        <v>120.76612903225809</v>
      </c>
      <c r="CD12" s="121">
        <f t="shared" si="6"/>
        <v>108.30645161290325</v>
      </c>
      <c r="CE12" s="121">
        <f t="shared" si="7"/>
        <v>42.096774193548264</v>
      </c>
      <c r="CF12" s="123">
        <f t="shared" si="49"/>
        <v>1251.4451612903226</v>
      </c>
      <c r="CG12" s="121">
        <f t="shared" si="8"/>
        <v>0</v>
      </c>
      <c r="CH12" s="121">
        <f t="shared" si="50"/>
        <v>1251.4451612903226</v>
      </c>
      <c r="CI12" s="121">
        <f t="shared" si="9"/>
        <v>304.8774193548387</v>
      </c>
      <c r="CJ12" s="121">
        <f t="shared" si="10"/>
        <v>588.6241935483872</v>
      </c>
      <c r="CK12" s="121">
        <f t="shared" si="11"/>
        <v>159.4112903225807</v>
      </c>
      <c r="CL12" s="121">
        <f t="shared" si="12"/>
        <v>142.9645161290323</v>
      </c>
      <c r="CM12" s="121">
        <f t="shared" si="13"/>
        <v>55.56774193548371</v>
      </c>
      <c r="CN12" s="124">
        <f t="shared" si="51"/>
        <v>151.69032258064516</v>
      </c>
      <c r="CO12" s="121">
        <f t="shared" si="14"/>
        <v>0</v>
      </c>
      <c r="CP12" s="121">
        <f t="shared" si="52"/>
        <v>151.69032258064516</v>
      </c>
      <c r="CQ12" s="121">
        <f t="shared" si="15"/>
        <v>36.95483870967742</v>
      </c>
      <c r="CR12" s="121">
        <f t="shared" si="16"/>
        <v>71.3483870967742</v>
      </c>
      <c r="CS12" s="121">
        <f t="shared" si="17"/>
        <v>19.322580645161295</v>
      </c>
      <c r="CT12" s="121">
        <f t="shared" si="18"/>
        <v>17.32903225806452</v>
      </c>
      <c r="CU12" s="121">
        <f t="shared" si="19"/>
        <v>6.735483870967722</v>
      </c>
      <c r="CV12" s="121">
        <f t="shared" si="53"/>
        <v>2351.2</v>
      </c>
      <c r="CW12" s="121">
        <f t="shared" si="54"/>
        <v>0</v>
      </c>
      <c r="CX12" s="191">
        <f t="shared" si="55"/>
        <v>2351.2000000000003</v>
      </c>
      <c r="CY12" s="191">
        <f t="shared" si="56"/>
        <v>0</v>
      </c>
    </row>
    <row r="13" spans="1:103" ht="21">
      <c r="A13" s="125" t="s">
        <v>196</v>
      </c>
      <c r="B13" s="103">
        <v>1364.2</v>
      </c>
      <c r="C13" s="103">
        <v>0</v>
      </c>
      <c r="D13" s="103">
        <v>412</v>
      </c>
      <c r="E13" s="103">
        <v>12</v>
      </c>
      <c r="F13" s="103">
        <v>0</v>
      </c>
      <c r="G13" s="104">
        <v>534</v>
      </c>
      <c r="H13" s="103">
        <v>297.4</v>
      </c>
      <c r="I13" s="103">
        <v>170.2</v>
      </c>
      <c r="J13" s="103">
        <v>61.6</v>
      </c>
      <c r="K13" s="103">
        <v>0</v>
      </c>
      <c r="L13" s="103">
        <v>779.2</v>
      </c>
      <c r="M13" s="105">
        <f t="shared" si="20"/>
        <v>3630.5999999999995</v>
      </c>
      <c r="N13" s="125" t="s">
        <v>151</v>
      </c>
      <c r="O13" s="106">
        <v>154</v>
      </c>
      <c r="P13" s="106">
        <v>53</v>
      </c>
      <c r="Q13" s="106">
        <v>88</v>
      </c>
      <c r="R13" s="106">
        <v>13</v>
      </c>
      <c r="S13" s="107">
        <v>0</v>
      </c>
      <c r="T13" s="107">
        <v>0</v>
      </c>
      <c r="U13" s="108">
        <f t="shared" si="21"/>
        <v>0</v>
      </c>
      <c r="V13" s="109">
        <v>0</v>
      </c>
      <c r="W13" s="109">
        <v>0</v>
      </c>
      <c r="X13" s="110">
        <f t="shared" si="22"/>
        <v>0</v>
      </c>
      <c r="Y13" s="109">
        <v>0</v>
      </c>
      <c r="Z13" s="109">
        <v>0</v>
      </c>
      <c r="AA13" s="111">
        <f t="shared" si="23"/>
        <v>0</v>
      </c>
      <c r="AB13" s="112">
        <f t="shared" si="24"/>
        <v>0</v>
      </c>
      <c r="AC13" s="113">
        <v>534</v>
      </c>
      <c r="AD13" s="51">
        <v>0</v>
      </c>
      <c r="AE13" s="51">
        <v>0</v>
      </c>
      <c r="AF13" s="51">
        <f>13.5+29+12+68+13.8+3.6</f>
        <v>139.9</v>
      </c>
      <c r="AG13" s="51">
        <f>42+24.9+10+5.2+15+0.9+8.6+2+2+3.2+5+11.7+13+26.2+33</f>
        <v>202.7</v>
      </c>
      <c r="AH13" s="51">
        <v>92</v>
      </c>
      <c r="AI13" s="51">
        <f>6.6+4.9+9.3</f>
        <v>20.8</v>
      </c>
      <c r="AJ13" s="51">
        <v>0</v>
      </c>
      <c r="AK13" s="111">
        <f t="shared" si="25"/>
        <v>455.40000000000003</v>
      </c>
      <c r="AL13" s="51">
        <f>80+6+45.9+3+12</f>
        <v>146.9</v>
      </c>
      <c r="AM13" s="51">
        <v>14.7</v>
      </c>
      <c r="AN13" s="51">
        <f>243.5+285.1+20.1+3.6+21.9</f>
        <v>574.2</v>
      </c>
      <c r="AO13" s="111">
        <f t="shared" si="26"/>
        <v>735.8000000000001</v>
      </c>
      <c r="AP13" s="51">
        <v>0</v>
      </c>
      <c r="AQ13" s="114">
        <v>1364.2</v>
      </c>
      <c r="AR13" s="114">
        <v>412</v>
      </c>
      <c r="AS13" s="111">
        <f t="shared" si="27"/>
        <v>1776.2</v>
      </c>
      <c r="AT13" s="51">
        <f>35.4+20.8+8.7</f>
        <v>64.9</v>
      </c>
      <c r="AU13" s="51">
        <v>2.7</v>
      </c>
      <c r="AV13" s="114">
        <v>61.6</v>
      </c>
      <c r="AW13" s="115">
        <f t="shared" si="28"/>
        <v>3630.6000000000004</v>
      </c>
      <c r="AX13" s="67">
        <f t="shared" si="29"/>
        <v>3630.6000000000004</v>
      </c>
      <c r="AY13" s="51">
        <v>3630.6</v>
      </c>
      <c r="AZ13" s="51">
        <f t="shared" si="57"/>
        <v>0</v>
      </c>
      <c r="BA13" s="116">
        <f t="shared" si="30"/>
        <v>0</v>
      </c>
      <c r="BB13" s="51">
        <f t="shared" si="31"/>
        <v>0</v>
      </c>
      <c r="BC13" s="51">
        <f t="shared" si="32"/>
        <v>0</v>
      </c>
      <c r="BD13" s="51">
        <f t="shared" si="33"/>
        <v>0</v>
      </c>
      <c r="BE13" s="117">
        <f t="shared" si="34"/>
        <v>3630.6000000000004</v>
      </c>
      <c r="BF13" s="51">
        <f t="shared" si="35"/>
        <v>1776.2</v>
      </c>
      <c r="BG13" s="118">
        <f t="shared" si="36"/>
        <v>534</v>
      </c>
      <c r="BH13" s="51">
        <f t="shared" si="37"/>
        <v>455.40000000000003</v>
      </c>
      <c r="BI13" s="51">
        <f t="shared" si="38"/>
        <v>735.8000000000001</v>
      </c>
      <c r="BJ13" s="51">
        <f t="shared" si="39"/>
        <v>129.20000000000016</v>
      </c>
      <c r="BK13" s="54">
        <f t="shared" si="40"/>
        <v>154</v>
      </c>
      <c r="BL13" s="52">
        <v>0</v>
      </c>
      <c r="BM13" s="53">
        <v>0</v>
      </c>
      <c r="BN13" s="53">
        <v>0</v>
      </c>
      <c r="BO13" s="53">
        <v>0</v>
      </c>
      <c r="BP13" s="119">
        <f t="shared" si="41"/>
        <v>23.57532467532468</v>
      </c>
      <c r="BQ13" s="120">
        <f t="shared" si="42"/>
        <v>11.533766233766235</v>
      </c>
      <c r="BR13" s="120">
        <f t="shared" si="43"/>
        <v>3.4675324675324677</v>
      </c>
      <c r="BS13" s="120">
        <f t="shared" si="44"/>
        <v>2.9571428571428573</v>
      </c>
      <c r="BT13" s="120">
        <f t="shared" si="45"/>
        <v>4.777922077922079</v>
      </c>
      <c r="BU13" s="120">
        <f t="shared" si="46"/>
        <v>0.83896103896104</v>
      </c>
      <c r="BV13" s="190">
        <f t="shared" si="0"/>
        <v>23.57532467532468</v>
      </c>
      <c r="BW13" s="121">
        <f t="shared" si="1"/>
        <v>3630.600000000001</v>
      </c>
      <c r="BX13" s="122">
        <f t="shared" si="47"/>
        <v>1249.4922077922079</v>
      </c>
      <c r="BY13" s="121">
        <f t="shared" si="2"/>
        <v>0</v>
      </c>
      <c r="BZ13" s="121">
        <f t="shared" si="48"/>
        <v>1249.4922077922079</v>
      </c>
      <c r="CA13" s="121">
        <f t="shared" si="3"/>
        <v>611.2896103896104</v>
      </c>
      <c r="CB13" s="121">
        <f t="shared" si="4"/>
        <v>183.7792207792208</v>
      </c>
      <c r="CC13" s="121">
        <f t="shared" si="5"/>
        <v>156.72857142857143</v>
      </c>
      <c r="CD13" s="121">
        <f t="shared" si="6"/>
        <v>253.22987012987016</v>
      </c>
      <c r="CE13" s="121">
        <f t="shared" si="7"/>
        <v>44.46493506493512</v>
      </c>
      <c r="CF13" s="123">
        <f t="shared" si="49"/>
        <v>2074.628571428572</v>
      </c>
      <c r="CG13" s="121">
        <f t="shared" si="8"/>
        <v>0</v>
      </c>
      <c r="CH13" s="121">
        <f t="shared" si="50"/>
        <v>2074.628571428572</v>
      </c>
      <c r="CI13" s="121">
        <f t="shared" si="9"/>
        <v>1014.9714285714286</v>
      </c>
      <c r="CJ13" s="121">
        <f t="shared" si="10"/>
        <v>305.14285714285717</v>
      </c>
      <c r="CK13" s="121">
        <f t="shared" si="11"/>
        <v>260.22857142857146</v>
      </c>
      <c r="CL13" s="121">
        <f t="shared" si="12"/>
        <v>420.4571428571429</v>
      </c>
      <c r="CM13" s="121">
        <f t="shared" si="13"/>
        <v>73.82857142857152</v>
      </c>
      <c r="CN13" s="124">
        <f t="shared" si="51"/>
        <v>306.47922077922084</v>
      </c>
      <c r="CO13" s="121">
        <f t="shared" si="14"/>
        <v>0</v>
      </c>
      <c r="CP13" s="121">
        <f t="shared" si="52"/>
        <v>306.47922077922084</v>
      </c>
      <c r="CQ13" s="121">
        <f t="shared" si="15"/>
        <v>149.93896103896105</v>
      </c>
      <c r="CR13" s="121">
        <f t="shared" si="16"/>
        <v>45.07792207792208</v>
      </c>
      <c r="CS13" s="121">
        <f t="shared" si="17"/>
        <v>38.44285714285714</v>
      </c>
      <c r="CT13" s="121">
        <f t="shared" si="18"/>
        <v>62.11298701298703</v>
      </c>
      <c r="CU13" s="121">
        <f t="shared" si="19"/>
        <v>10.90649350649352</v>
      </c>
      <c r="CV13" s="121">
        <f t="shared" si="53"/>
        <v>3630.6000000000004</v>
      </c>
      <c r="CW13" s="121">
        <f t="shared" si="54"/>
        <v>0</v>
      </c>
      <c r="CX13" s="191">
        <f t="shared" si="55"/>
        <v>3630.6000000000004</v>
      </c>
      <c r="CY13" s="191">
        <f t="shared" si="56"/>
        <v>0</v>
      </c>
    </row>
    <row r="14" spans="1:103" ht="21">
      <c r="A14" s="88" t="s">
        <v>205</v>
      </c>
      <c r="B14" s="103">
        <v>800.7</v>
      </c>
      <c r="C14" s="103">
        <v>0</v>
      </c>
      <c r="D14" s="103">
        <v>241.8</v>
      </c>
      <c r="E14" s="103">
        <v>12</v>
      </c>
      <c r="F14" s="103">
        <v>0</v>
      </c>
      <c r="G14" s="104">
        <v>972.3</v>
      </c>
      <c r="H14" s="103">
        <v>319.8</v>
      </c>
      <c r="I14" s="103">
        <v>128.8</v>
      </c>
      <c r="J14" s="103">
        <v>190.8</v>
      </c>
      <c r="K14" s="103">
        <v>0</v>
      </c>
      <c r="L14" s="103">
        <v>529</v>
      </c>
      <c r="M14" s="105">
        <f t="shared" si="20"/>
        <v>3195.2000000000003</v>
      </c>
      <c r="N14" s="88" t="s">
        <v>152</v>
      </c>
      <c r="O14" s="106">
        <v>144</v>
      </c>
      <c r="P14" s="106">
        <v>66</v>
      </c>
      <c r="Q14" s="106">
        <v>58</v>
      </c>
      <c r="R14" s="106">
        <v>20</v>
      </c>
      <c r="S14" s="107">
        <v>0</v>
      </c>
      <c r="T14" s="107">
        <v>0</v>
      </c>
      <c r="U14" s="108">
        <f t="shared" si="21"/>
        <v>0</v>
      </c>
      <c r="V14" s="109">
        <v>0</v>
      </c>
      <c r="W14" s="109">
        <v>0</v>
      </c>
      <c r="X14" s="110">
        <f t="shared" si="22"/>
        <v>0</v>
      </c>
      <c r="Y14" s="109">
        <v>0</v>
      </c>
      <c r="Z14" s="109">
        <v>0</v>
      </c>
      <c r="AA14" s="111">
        <f t="shared" si="23"/>
        <v>0</v>
      </c>
      <c r="AB14" s="112">
        <f t="shared" si="24"/>
        <v>0</v>
      </c>
      <c r="AC14" s="113">
        <v>972.3</v>
      </c>
      <c r="AD14" s="51">
        <v>0</v>
      </c>
      <c r="AE14" s="51">
        <v>0</v>
      </c>
      <c r="AF14" s="51">
        <f>1.2+25.9+12+20+2.3+3.5+14.3</f>
        <v>79.19999999999999</v>
      </c>
      <c r="AG14" s="51">
        <f>93.3+24.9+10+18.5+11.4+20.5+0.9+4.3+2+2+3.2+5+11.5+10.3+15</f>
        <v>232.8</v>
      </c>
      <c r="AH14" s="51"/>
      <c r="AI14" s="51">
        <f>11.5+4.8+2.6</f>
        <v>18.900000000000002</v>
      </c>
      <c r="AJ14" s="51">
        <v>0</v>
      </c>
      <c r="AK14" s="111">
        <f t="shared" si="25"/>
        <v>330.9</v>
      </c>
      <c r="AL14" s="51">
        <f>50+6+55+5+12</f>
        <v>128</v>
      </c>
      <c r="AM14" s="51">
        <v>14.7</v>
      </c>
      <c r="AN14" s="51">
        <f>373.3+47.4+7.8+18.4+2.8</f>
        <v>449.7</v>
      </c>
      <c r="AO14" s="111">
        <f t="shared" si="26"/>
        <v>592.4</v>
      </c>
      <c r="AP14" s="51">
        <v>0</v>
      </c>
      <c r="AQ14" s="114">
        <v>800.7</v>
      </c>
      <c r="AR14" s="114">
        <v>241.8</v>
      </c>
      <c r="AS14" s="111">
        <f t="shared" si="27"/>
        <v>1042.5</v>
      </c>
      <c r="AT14" s="51">
        <f>29.1+20.8+13.7</f>
        <v>63.60000000000001</v>
      </c>
      <c r="AU14" s="51">
        <v>2.7</v>
      </c>
      <c r="AV14" s="114">
        <v>190.8</v>
      </c>
      <c r="AW14" s="115">
        <f t="shared" si="28"/>
        <v>3195.2</v>
      </c>
      <c r="AX14" s="67">
        <f t="shared" si="29"/>
        <v>3195.2</v>
      </c>
      <c r="AY14" s="51">
        <v>3195.2</v>
      </c>
      <c r="AZ14" s="51">
        <f t="shared" si="57"/>
        <v>0</v>
      </c>
      <c r="BA14" s="116">
        <f t="shared" si="30"/>
        <v>0</v>
      </c>
      <c r="BB14" s="51">
        <f t="shared" si="31"/>
        <v>0</v>
      </c>
      <c r="BC14" s="51">
        <f t="shared" si="32"/>
        <v>0</v>
      </c>
      <c r="BD14" s="51">
        <f t="shared" si="33"/>
        <v>0</v>
      </c>
      <c r="BE14" s="117">
        <f t="shared" si="34"/>
        <v>3195.2</v>
      </c>
      <c r="BF14" s="51">
        <f t="shared" si="35"/>
        <v>1042.5</v>
      </c>
      <c r="BG14" s="118">
        <f t="shared" si="36"/>
        <v>972.3</v>
      </c>
      <c r="BH14" s="51">
        <f t="shared" si="37"/>
        <v>330.9</v>
      </c>
      <c r="BI14" s="51">
        <f t="shared" si="38"/>
        <v>592.4</v>
      </c>
      <c r="BJ14" s="51">
        <f t="shared" si="39"/>
        <v>257.0999999999999</v>
      </c>
      <c r="BK14" s="54">
        <f t="shared" si="40"/>
        <v>144</v>
      </c>
      <c r="BL14" s="52">
        <v>0</v>
      </c>
      <c r="BM14" s="53">
        <v>0</v>
      </c>
      <c r="BN14" s="53">
        <v>0</v>
      </c>
      <c r="BO14" s="53">
        <v>0</v>
      </c>
      <c r="BP14" s="119">
        <f t="shared" si="41"/>
        <v>22.188888888888886</v>
      </c>
      <c r="BQ14" s="120">
        <f t="shared" si="42"/>
        <v>7.239583333333333</v>
      </c>
      <c r="BR14" s="120">
        <f t="shared" si="43"/>
        <v>6.752083333333333</v>
      </c>
      <c r="BS14" s="120">
        <f t="shared" si="44"/>
        <v>2.2979166666666666</v>
      </c>
      <c r="BT14" s="120">
        <f t="shared" si="45"/>
        <v>4.113888888888889</v>
      </c>
      <c r="BU14" s="120">
        <f t="shared" si="46"/>
        <v>1.785416666666666</v>
      </c>
      <c r="BV14" s="190">
        <f t="shared" si="0"/>
        <v>22.188888888888886</v>
      </c>
      <c r="BW14" s="121">
        <f t="shared" si="1"/>
        <v>3195.2</v>
      </c>
      <c r="BX14" s="122">
        <f t="shared" si="47"/>
        <v>1464.4666666666665</v>
      </c>
      <c r="BY14" s="121">
        <f t="shared" si="2"/>
        <v>0</v>
      </c>
      <c r="BZ14" s="121">
        <f t="shared" si="48"/>
        <v>1464.4666666666665</v>
      </c>
      <c r="CA14" s="121">
        <f t="shared" si="3"/>
        <v>477.8125</v>
      </c>
      <c r="CB14" s="121">
        <f t="shared" si="4"/>
        <v>445.6375</v>
      </c>
      <c r="CC14" s="121">
        <f t="shared" si="5"/>
        <v>151.6625</v>
      </c>
      <c r="CD14" s="121">
        <f t="shared" si="6"/>
        <v>271.51666666666665</v>
      </c>
      <c r="CE14" s="121">
        <f t="shared" si="7"/>
        <v>117.83749999999995</v>
      </c>
      <c r="CF14" s="123">
        <f t="shared" si="49"/>
        <v>1286.9555555555555</v>
      </c>
      <c r="CG14" s="121">
        <f t="shared" si="8"/>
        <v>0</v>
      </c>
      <c r="CH14" s="121">
        <f t="shared" si="50"/>
        <v>1286.9555555555555</v>
      </c>
      <c r="CI14" s="121">
        <f t="shared" si="9"/>
        <v>419.8958333333333</v>
      </c>
      <c r="CJ14" s="121">
        <f t="shared" si="10"/>
        <v>391.62083333333334</v>
      </c>
      <c r="CK14" s="121">
        <f t="shared" si="11"/>
        <v>133.27916666666667</v>
      </c>
      <c r="CL14" s="121">
        <f t="shared" si="12"/>
        <v>238.60555555555555</v>
      </c>
      <c r="CM14" s="121">
        <f t="shared" si="13"/>
        <v>103.55416666666663</v>
      </c>
      <c r="CN14" s="124">
        <f t="shared" si="51"/>
        <v>443.7777777777777</v>
      </c>
      <c r="CO14" s="121">
        <f t="shared" si="14"/>
        <v>0</v>
      </c>
      <c r="CP14" s="121">
        <f t="shared" si="52"/>
        <v>443.7777777777777</v>
      </c>
      <c r="CQ14" s="121">
        <f t="shared" si="15"/>
        <v>144.79166666666666</v>
      </c>
      <c r="CR14" s="121">
        <f t="shared" si="16"/>
        <v>135.04166666666666</v>
      </c>
      <c r="CS14" s="121">
        <f t="shared" si="17"/>
        <v>45.95833333333333</v>
      </c>
      <c r="CT14" s="121">
        <f t="shared" si="18"/>
        <v>82.27777777777777</v>
      </c>
      <c r="CU14" s="121">
        <f t="shared" si="19"/>
        <v>35.70833333333332</v>
      </c>
      <c r="CV14" s="121">
        <f t="shared" si="53"/>
        <v>3195.2</v>
      </c>
      <c r="CW14" s="121">
        <f t="shared" si="54"/>
        <v>0</v>
      </c>
      <c r="CX14" s="191">
        <f t="shared" si="55"/>
        <v>3195.2</v>
      </c>
      <c r="CY14" s="191">
        <f t="shared" si="56"/>
        <v>0</v>
      </c>
    </row>
    <row r="15" spans="1:103" ht="21">
      <c r="A15" s="88" t="s">
        <v>197</v>
      </c>
      <c r="B15" s="103">
        <v>606.1</v>
      </c>
      <c r="C15" s="103">
        <v>0</v>
      </c>
      <c r="D15" s="103">
        <v>183.1</v>
      </c>
      <c r="E15" s="103">
        <v>6</v>
      </c>
      <c r="F15" s="103">
        <v>0</v>
      </c>
      <c r="G15" s="104">
        <v>658.1</v>
      </c>
      <c r="H15" s="103">
        <v>156.8</v>
      </c>
      <c r="I15" s="103">
        <v>91.5</v>
      </c>
      <c r="J15" s="103">
        <v>36.5</v>
      </c>
      <c r="K15" s="103">
        <v>0</v>
      </c>
      <c r="L15" s="103">
        <v>258.7</v>
      </c>
      <c r="M15" s="105">
        <f t="shared" si="20"/>
        <v>1996.8000000000002</v>
      </c>
      <c r="N15" s="88" t="s">
        <v>153</v>
      </c>
      <c r="O15" s="106">
        <v>88</v>
      </c>
      <c r="P15" s="106">
        <v>39</v>
      </c>
      <c r="Q15" s="106">
        <v>43</v>
      </c>
      <c r="R15" s="106">
        <v>6</v>
      </c>
      <c r="S15" s="107">
        <v>0</v>
      </c>
      <c r="T15" s="107">
        <v>0</v>
      </c>
      <c r="U15" s="108">
        <f t="shared" si="21"/>
        <v>0</v>
      </c>
      <c r="V15" s="109">
        <v>0</v>
      </c>
      <c r="W15" s="109">
        <v>0</v>
      </c>
      <c r="X15" s="110">
        <f t="shared" si="22"/>
        <v>0</v>
      </c>
      <c r="Y15" s="109">
        <v>0</v>
      </c>
      <c r="Z15" s="109">
        <v>0</v>
      </c>
      <c r="AA15" s="111">
        <f t="shared" si="23"/>
        <v>0</v>
      </c>
      <c r="AB15" s="112">
        <f t="shared" si="24"/>
        <v>0</v>
      </c>
      <c r="AC15" s="113">
        <v>658.1</v>
      </c>
      <c r="AD15" s="51">
        <v>0</v>
      </c>
      <c r="AE15" s="51">
        <v>0</v>
      </c>
      <c r="AF15" s="51">
        <f>9+22.8+12+1.8+2.3</f>
        <v>47.89999999999999</v>
      </c>
      <c r="AG15" s="51">
        <f>10.5+24.9+10+4+3.8+10+0.5+4.3+2+2+3.2+5+11.5+1.6+20</f>
        <v>113.3</v>
      </c>
      <c r="AH15" s="51"/>
      <c r="AI15" s="51">
        <f>9.4+4.8+2.5</f>
        <v>16.7</v>
      </c>
      <c r="AJ15" s="51">
        <v>6.7</v>
      </c>
      <c r="AK15" s="111">
        <f t="shared" si="25"/>
        <v>184.59999999999997</v>
      </c>
      <c r="AL15" s="51">
        <f>15+3+22.4+2.4+6</f>
        <v>48.8</v>
      </c>
      <c r="AM15" s="51">
        <v>5.7</v>
      </c>
      <c r="AN15" s="51">
        <f>190.7+15.5+6.8+8.5+2.2</f>
        <v>223.7</v>
      </c>
      <c r="AO15" s="111">
        <f t="shared" si="26"/>
        <v>278.2</v>
      </c>
      <c r="AP15" s="51">
        <v>0</v>
      </c>
      <c r="AQ15" s="114">
        <v>606.1</v>
      </c>
      <c r="AR15" s="114">
        <v>183.1</v>
      </c>
      <c r="AS15" s="111">
        <f t="shared" si="27"/>
        <v>789.2</v>
      </c>
      <c r="AT15" s="51">
        <f>31.2+10.4+5.9</f>
        <v>47.5</v>
      </c>
      <c r="AU15" s="51">
        <v>2.7</v>
      </c>
      <c r="AV15" s="114">
        <v>36.5</v>
      </c>
      <c r="AW15" s="115">
        <f t="shared" si="28"/>
        <v>1996.8000000000002</v>
      </c>
      <c r="AX15" s="67">
        <f t="shared" si="29"/>
        <v>1996.8000000000002</v>
      </c>
      <c r="AY15" s="51">
        <v>1996.8</v>
      </c>
      <c r="AZ15" s="51">
        <f t="shared" si="57"/>
        <v>0</v>
      </c>
      <c r="BA15" s="116">
        <f t="shared" si="30"/>
        <v>0</v>
      </c>
      <c r="BB15" s="51">
        <f t="shared" si="31"/>
        <v>0</v>
      </c>
      <c r="BC15" s="51">
        <f t="shared" si="32"/>
        <v>0</v>
      </c>
      <c r="BD15" s="51">
        <f t="shared" si="33"/>
        <v>0</v>
      </c>
      <c r="BE15" s="117">
        <f t="shared" si="34"/>
        <v>1996.8000000000002</v>
      </c>
      <c r="BF15" s="51">
        <f t="shared" si="35"/>
        <v>789.2</v>
      </c>
      <c r="BG15" s="118">
        <f t="shared" si="36"/>
        <v>658.1</v>
      </c>
      <c r="BH15" s="51">
        <f t="shared" si="37"/>
        <v>184.59999999999997</v>
      </c>
      <c r="BI15" s="51">
        <f t="shared" si="38"/>
        <v>278.2</v>
      </c>
      <c r="BJ15" s="51">
        <f t="shared" si="39"/>
        <v>86.70000000000016</v>
      </c>
      <c r="BK15" s="54">
        <f t="shared" si="40"/>
        <v>88</v>
      </c>
      <c r="BL15" s="52">
        <v>0</v>
      </c>
      <c r="BM15" s="53">
        <v>0</v>
      </c>
      <c r="BN15" s="53">
        <v>0</v>
      </c>
      <c r="BO15" s="53">
        <v>0</v>
      </c>
      <c r="BP15" s="119">
        <f t="shared" si="41"/>
        <v>22.69090909090909</v>
      </c>
      <c r="BQ15" s="120">
        <f t="shared" si="42"/>
        <v>8.968181818181819</v>
      </c>
      <c r="BR15" s="120">
        <f t="shared" si="43"/>
        <v>7.478409090909091</v>
      </c>
      <c r="BS15" s="120">
        <f t="shared" si="44"/>
        <v>2.097727272727272</v>
      </c>
      <c r="BT15" s="120">
        <f t="shared" si="45"/>
        <v>3.161363636363636</v>
      </c>
      <c r="BU15" s="120">
        <f t="shared" si="46"/>
        <v>0.9852272727272745</v>
      </c>
      <c r="BV15" s="190">
        <f t="shared" si="0"/>
        <v>22.69090909090909</v>
      </c>
      <c r="BW15" s="121">
        <f t="shared" si="1"/>
        <v>1996.8</v>
      </c>
      <c r="BX15" s="122">
        <f t="shared" si="47"/>
        <v>884.9454545454546</v>
      </c>
      <c r="BY15" s="121">
        <f t="shared" si="2"/>
        <v>0</v>
      </c>
      <c r="BZ15" s="121">
        <f t="shared" si="48"/>
        <v>884.9454545454546</v>
      </c>
      <c r="CA15" s="121">
        <f t="shared" si="3"/>
        <v>349.7590909090909</v>
      </c>
      <c r="CB15" s="121">
        <f t="shared" si="4"/>
        <v>291.6579545454546</v>
      </c>
      <c r="CC15" s="121">
        <f t="shared" si="5"/>
        <v>81.81136363636362</v>
      </c>
      <c r="CD15" s="121">
        <f t="shared" si="6"/>
        <v>123.29318181818181</v>
      </c>
      <c r="CE15" s="121">
        <f t="shared" si="7"/>
        <v>38.423863636363706</v>
      </c>
      <c r="CF15" s="123">
        <f t="shared" si="49"/>
        <v>975.709090909091</v>
      </c>
      <c r="CG15" s="121">
        <f t="shared" si="8"/>
        <v>0</v>
      </c>
      <c r="CH15" s="121">
        <f t="shared" si="50"/>
        <v>975.709090909091</v>
      </c>
      <c r="CI15" s="121">
        <f t="shared" si="9"/>
        <v>385.6318181818182</v>
      </c>
      <c r="CJ15" s="121">
        <f t="shared" si="10"/>
        <v>321.5715909090909</v>
      </c>
      <c r="CK15" s="121">
        <f t="shared" si="11"/>
        <v>90.2022727272727</v>
      </c>
      <c r="CL15" s="121">
        <f t="shared" si="12"/>
        <v>135.93863636363636</v>
      </c>
      <c r="CM15" s="121">
        <f t="shared" si="13"/>
        <v>42.3647727272728</v>
      </c>
      <c r="CN15" s="124">
        <f t="shared" si="51"/>
        <v>136.14545454545458</v>
      </c>
      <c r="CO15" s="121">
        <f t="shared" si="14"/>
        <v>0</v>
      </c>
      <c r="CP15" s="121">
        <f t="shared" si="52"/>
        <v>136.14545454545458</v>
      </c>
      <c r="CQ15" s="121">
        <f t="shared" si="15"/>
        <v>53.80909090909091</v>
      </c>
      <c r="CR15" s="121">
        <f t="shared" si="16"/>
        <v>44.87045454545455</v>
      </c>
      <c r="CS15" s="121">
        <f t="shared" si="17"/>
        <v>12.586363636363632</v>
      </c>
      <c r="CT15" s="121">
        <f t="shared" si="18"/>
        <v>18.96818181818182</v>
      </c>
      <c r="CU15" s="121">
        <f t="shared" si="19"/>
        <v>5.911363636363647</v>
      </c>
      <c r="CV15" s="121">
        <f t="shared" si="53"/>
        <v>1996.8000000000002</v>
      </c>
      <c r="CW15" s="121">
        <f t="shared" si="54"/>
        <v>0</v>
      </c>
      <c r="CX15" s="191">
        <f t="shared" si="55"/>
        <v>1996.8000000000002</v>
      </c>
      <c r="CY15" s="191">
        <f t="shared" si="56"/>
        <v>0</v>
      </c>
    </row>
    <row r="16" spans="1:103" ht="21">
      <c r="A16" s="88" t="s">
        <v>198</v>
      </c>
      <c r="B16" s="103">
        <v>229.8</v>
      </c>
      <c r="C16" s="103">
        <v>0</v>
      </c>
      <c r="D16" s="103">
        <v>69.4</v>
      </c>
      <c r="E16" s="103">
        <v>0</v>
      </c>
      <c r="F16" s="103">
        <v>0</v>
      </c>
      <c r="G16" s="104">
        <v>474.6</v>
      </c>
      <c r="H16" s="103">
        <v>119.7</v>
      </c>
      <c r="I16" s="103">
        <v>95.4</v>
      </c>
      <c r="J16" s="103">
        <v>6.2</v>
      </c>
      <c r="K16" s="103">
        <v>0</v>
      </c>
      <c r="L16" s="103">
        <v>30</v>
      </c>
      <c r="M16" s="105">
        <f t="shared" si="20"/>
        <v>1025.1000000000001</v>
      </c>
      <c r="N16" s="88" t="s">
        <v>154</v>
      </c>
      <c r="O16" s="106">
        <v>57</v>
      </c>
      <c r="P16" s="106">
        <v>34</v>
      </c>
      <c r="Q16" s="106">
        <v>23</v>
      </c>
      <c r="R16" s="106">
        <v>0</v>
      </c>
      <c r="S16" s="107">
        <v>0</v>
      </c>
      <c r="T16" s="107">
        <v>0</v>
      </c>
      <c r="U16" s="108">
        <f t="shared" si="21"/>
        <v>0</v>
      </c>
      <c r="V16" s="109">
        <v>0</v>
      </c>
      <c r="W16" s="109">
        <v>0</v>
      </c>
      <c r="X16" s="110">
        <f t="shared" si="22"/>
        <v>0</v>
      </c>
      <c r="Y16" s="109">
        <v>0</v>
      </c>
      <c r="Z16" s="109">
        <v>0</v>
      </c>
      <c r="AA16" s="111">
        <f t="shared" si="23"/>
        <v>0</v>
      </c>
      <c r="AB16" s="112">
        <f t="shared" si="24"/>
        <v>0</v>
      </c>
      <c r="AC16" s="113">
        <v>474.6</v>
      </c>
      <c r="AD16" s="51">
        <v>0</v>
      </c>
      <c r="AE16" s="51">
        <v>0</v>
      </c>
      <c r="AF16" s="51">
        <f>6+23.8+12+1.8+2.3</f>
        <v>45.89999999999999</v>
      </c>
      <c r="AG16" s="51">
        <f>7.5+12.5+18.5+23+3.5+2+2+3.2+5+11.7+6.3+34+30</f>
        <v>159.2</v>
      </c>
      <c r="AH16" s="51">
        <v>0</v>
      </c>
      <c r="AI16" s="51">
        <f>3.9+4.9+1.5</f>
        <v>10.3</v>
      </c>
      <c r="AJ16" s="51">
        <v>0</v>
      </c>
      <c r="AK16" s="111">
        <f t="shared" si="25"/>
        <v>215.39999999999998</v>
      </c>
      <c r="AL16" s="51">
        <v>0</v>
      </c>
      <c r="AM16" s="51">
        <v>0</v>
      </c>
      <c r="AN16" s="51">
        <v>0</v>
      </c>
      <c r="AO16" s="111">
        <f t="shared" si="26"/>
        <v>0</v>
      </c>
      <c r="AP16" s="51">
        <v>0</v>
      </c>
      <c r="AQ16" s="114">
        <v>229.8</v>
      </c>
      <c r="AR16" s="114">
        <v>69.4</v>
      </c>
      <c r="AS16" s="111">
        <f t="shared" si="27"/>
        <v>299.20000000000005</v>
      </c>
      <c r="AT16" s="51">
        <f>21.3+5.7</f>
        <v>27</v>
      </c>
      <c r="AU16" s="51">
        <v>2.7</v>
      </c>
      <c r="AV16" s="114">
        <v>6.2</v>
      </c>
      <c r="AW16" s="115">
        <f t="shared" si="28"/>
        <v>1025.1000000000001</v>
      </c>
      <c r="AX16" s="67">
        <f t="shared" si="29"/>
        <v>1025.1000000000001</v>
      </c>
      <c r="AY16" s="51">
        <v>1025.1</v>
      </c>
      <c r="AZ16" s="51">
        <f t="shared" si="57"/>
        <v>0</v>
      </c>
      <c r="BA16" s="116">
        <f t="shared" si="30"/>
        <v>0</v>
      </c>
      <c r="BB16" s="51">
        <f t="shared" si="31"/>
        <v>0</v>
      </c>
      <c r="BC16" s="51">
        <f t="shared" si="32"/>
        <v>0</v>
      </c>
      <c r="BD16" s="51">
        <f t="shared" si="33"/>
        <v>0</v>
      </c>
      <c r="BE16" s="117">
        <f t="shared" si="34"/>
        <v>1025.1000000000001</v>
      </c>
      <c r="BF16" s="51">
        <f t="shared" si="35"/>
        <v>299.20000000000005</v>
      </c>
      <c r="BG16" s="118">
        <f t="shared" si="36"/>
        <v>474.6</v>
      </c>
      <c r="BH16" s="51">
        <f t="shared" si="37"/>
        <v>215.39999999999998</v>
      </c>
      <c r="BI16" s="51">
        <f t="shared" si="38"/>
        <v>0</v>
      </c>
      <c r="BJ16" s="51">
        <f t="shared" si="39"/>
        <v>35.90000000000009</v>
      </c>
      <c r="BK16" s="54">
        <f t="shared" si="40"/>
        <v>57</v>
      </c>
      <c r="BL16" s="52">
        <v>0</v>
      </c>
      <c r="BM16" s="53">
        <v>0</v>
      </c>
      <c r="BN16" s="53">
        <v>0</v>
      </c>
      <c r="BO16" s="53">
        <v>0</v>
      </c>
      <c r="BP16" s="119">
        <f t="shared" si="41"/>
        <v>17.984210526315792</v>
      </c>
      <c r="BQ16" s="120">
        <f t="shared" si="42"/>
        <v>5.249122807017545</v>
      </c>
      <c r="BR16" s="120">
        <f t="shared" si="43"/>
        <v>8.326315789473684</v>
      </c>
      <c r="BS16" s="120">
        <f t="shared" si="44"/>
        <v>3.7789473684210524</v>
      </c>
      <c r="BT16" s="120">
        <f t="shared" si="45"/>
        <v>0</v>
      </c>
      <c r="BU16" s="120">
        <f t="shared" si="46"/>
        <v>0.6298245614035104</v>
      </c>
      <c r="BV16" s="190">
        <f t="shared" si="0"/>
        <v>17.984210526315792</v>
      </c>
      <c r="BW16" s="121">
        <f t="shared" si="1"/>
        <v>1025.1000000000001</v>
      </c>
      <c r="BX16" s="122">
        <f t="shared" si="47"/>
        <v>611.4631578947368</v>
      </c>
      <c r="BY16" s="121">
        <f t="shared" si="2"/>
        <v>0</v>
      </c>
      <c r="BZ16" s="121">
        <f t="shared" si="48"/>
        <v>611.4631578947368</v>
      </c>
      <c r="CA16" s="121">
        <f t="shared" si="3"/>
        <v>178.47017543859653</v>
      </c>
      <c r="CB16" s="121">
        <f t="shared" si="4"/>
        <v>283.09473684210525</v>
      </c>
      <c r="CC16" s="121">
        <f t="shared" si="5"/>
        <v>128.4842105263158</v>
      </c>
      <c r="CD16" s="121">
        <f t="shared" si="6"/>
        <v>0</v>
      </c>
      <c r="CE16" s="121">
        <f t="shared" si="7"/>
        <v>21.414035087719352</v>
      </c>
      <c r="CF16" s="123">
        <f t="shared" si="49"/>
        <v>413.63684210526316</v>
      </c>
      <c r="CG16" s="121">
        <f t="shared" si="8"/>
        <v>0</v>
      </c>
      <c r="CH16" s="121">
        <f t="shared" si="50"/>
        <v>413.63684210526316</v>
      </c>
      <c r="CI16" s="121">
        <f t="shared" si="9"/>
        <v>120.72982456140353</v>
      </c>
      <c r="CJ16" s="121">
        <f t="shared" si="10"/>
        <v>191.50526315789472</v>
      </c>
      <c r="CK16" s="121">
        <f t="shared" si="11"/>
        <v>86.9157894736842</v>
      </c>
      <c r="CL16" s="121">
        <f t="shared" si="12"/>
        <v>0</v>
      </c>
      <c r="CM16" s="121">
        <f t="shared" si="13"/>
        <v>14.485964912280739</v>
      </c>
      <c r="CN16" s="124">
        <f t="shared" si="51"/>
        <v>0</v>
      </c>
      <c r="CO16" s="121">
        <f t="shared" si="14"/>
        <v>0</v>
      </c>
      <c r="CP16" s="121">
        <f t="shared" si="52"/>
        <v>0</v>
      </c>
      <c r="CQ16" s="121">
        <f t="shared" si="15"/>
        <v>0</v>
      </c>
      <c r="CR16" s="121">
        <f t="shared" si="16"/>
        <v>0</v>
      </c>
      <c r="CS16" s="121">
        <f t="shared" si="17"/>
        <v>0</v>
      </c>
      <c r="CT16" s="121">
        <f t="shared" si="18"/>
        <v>0</v>
      </c>
      <c r="CU16" s="121">
        <f t="shared" si="19"/>
        <v>0</v>
      </c>
      <c r="CV16" s="121">
        <f t="shared" si="53"/>
        <v>1025.1</v>
      </c>
      <c r="CW16" s="121">
        <f t="shared" si="54"/>
        <v>0</v>
      </c>
      <c r="CX16" s="191">
        <f t="shared" si="55"/>
        <v>1025.1</v>
      </c>
      <c r="CY16" s="191">
        <f t="shared" si="56"/>
        <v>0</v>
      </c>
    </row>
    <row r="17" spans="1:103" ht="21">
      <c r="A17" s="88" t="s">
        <v>199</v>
      </c>
      <c r="B17" s="103">
        <v>401.6</v>
      </c>
      <c r="C17" s="103">
        <v>0</v>
      </c>
      <c r="D17" s="103">
        <v>121.3</v>
      </c>
      <c r="E17" s="103">
        <v>6</v>
      </c>
      <c r="F17" s="103">
        <v>0</v>
      </c>
      <c r="G17" s="104">
        <v>289.1</v>
      </c>
      <c r="H17" s="103">
        <v>239.1</v>
      </c>
      <c r="I17" s="103">
        <v>80.5</v>
      </c>
      <c r="J17" s="103">
        <v>36.3</v>
      </c>
      <c r="K17" s="103">
        <v>0</v>
      </c>
      <c r="L17" s="103">
        <v>89</v>
      </c>
      <c r="M17" s="105">
        <f t="shared" si="20"/>
        <v>1262.8999999999999</v>
      </c>
      <c r="N17" s="88" t="s">
        <v>155</v>
      </c>
      <c r="O17" s="106">
        <v>85</v>
      </c>
      <c r="P17" s="106">
        <v>38</v>
      </c>
      <c r="Q17" s="106">
        <v>47</v>
      </c>
      <c r="R17" s="106">
        <v>0</v>
      </c>
      <c r="S17" s="107">
        <v>0</v>
      </c>
      <c r="T17" s="107">
        <v>0</v>
      </c>
      <c r="U17" s="108">
        <f t="shared" si="21"/>
        <v>0</v>
      </c>
      <c r="V17" s="109">
        <v>0</v>
      </c>
      <c r="W17" s="109">
        <v>0</v>
      </c>
      <c r="X17" s="110">
        <f t="shared" si="22"/>
        <v>0</v>
      </c>
      <c r="Y17" s="109">
        <v>0</v>
      </c>
      <c r="Z17" s="109">
        <v>0</v>
      </c>
      <c r="AA17" s="111">
        <f t="shared" si="23"/>
        <v>0</v>
      </c>
      <c r="AB17" s="112">
        <f t="shared" si="24"/>
        <v>0</v>
      </c>
      <c r="AC17" s="113">
        <v>289.1</v>
      </c>
      <c r="AD17" s="51">
        <v>0</v>
      </c>
      <c r="AE17" s="51">
        <v>0</v>
      </c>
      <c r="AF17" s="51">
        <f>6.7+46.8+11.1+12+1.8+2.3+28</f>
        <v>108.69999999999999</v>
      </c>
      <c r="AG17" s="51">
        <f>12.4+7+48+3+10+0.5+4.3+2+2+3.2+5+11.4+3.7+20</f>
        <v>132.5</v>
      </c>
      <c r="AH17" s="51"/>
      <c r="AI17" s="51">
        <f>2.6+1.1+2</f>
        <v>5.7</v>
      </c>
      <c r="AJ17" s="51">
        <v>30</v>
      </c>
      <c r="AK17" s="111">
        <f t="shared" si="25"/>
        <v>276.9</v>
      </c>
      <c r="AL17" s="51">
        <f>15+3+14.1+2.3+6</f>
        <v>40.4</v>
      </c>
      <c r="AM17" s="51">
        <v>5.7</v>
      </c>
      <c r="AN17" s="51">
        <f>48.8+3.8+1.4</f>
        <v>53.99999999999999</v>
      </c>
      <c r="AO17" s="111">
        <f t="shared" si="26"/>
        <v>100.1</v>
      </c>
      <c r="AP17" s="51">
        <v>0</v>
      </c>
      <c r="AQ17" s="114">
        <v>401.6</v>
      </c>
      <c r="AR17" s="114">
        <v>121.3</v>
      </c>
      <c r="AS17" s="111">
        <f t="shared" si="27"/>
        <v>522.9</v>
      </c>
      <c r="AT17" s="51">
        <f>19.3+10.4+5.2</f>
        <v>34.900000000000006</v>
      </c>
      <c r="AU17" s="51">
        <v>2.7</v>
      </c>
      <c r="AV17" s="114">
        <v>36.3</v>
      </c>
      <c r="AW17" s="115">
        <f t="shared" si="28"/>
        <v>1262.9</v>
      </c>
      <c r="AX17" s="67">
        <f t="shared" si="29"/>
        <v>1262.9</v>
      </c>
      <c r="AY17" s="51">
        <v>1262.9</v>
      </c>
      <c r="AZ17" s="51">
        <f t="shared" si="57"/>
        <v>0</v>
      </c>
      <c r="BA17" s="116">
        <f t="shared" si="30"/>
        <v>0</v>
      </c>
      <c r="BB17" s="51">
        <f t="shared" si="31"/>
        <v>0</v>
      </c>
      <c r="BC17" s="51">
        <f t="shared" si="32"/>
        <v>0</v>
      </c>
      <c r="BD17" s="51">
        <f t="shared" si="33"/>
        <v>0</v>
      </c>
      <c r="BE17" s="117">
        <f t="shared" si="34"/>
        <v>1262.9</v>
      </c>
      <c r="BF17" s="51">
        <f t="shared" si="35"/>
        <v>522.9</v>
      </c>
      <c r="BG17" s="118">
        <f t="shared" si="36"/>
        <v>289.1</v>
      </c>
      <c r="BH17" s="51">
        <f t="shared" si="37"/>
        <v>276.9</v>
      </c>
      <c r="BI17" s="51">
        <f t="shared" si="38"/>
        <v>100.1</v>
      </c>
      <c r="BJ17" s="51">
        <f t="shared" si="39"/>
        <v>73.90000000000012</v>
      </c>
      <c r="BK17" s="54">
        <f t="shared" si="40"/>
        <v>85</v>
      </c>
      <c r="BL17" s="52">
        <v>0</v>
      </c>
      <c r="BM17" s="53">
        <v>0</v>
      </c>
      <c r="BN17" s="53">
        <v>0</v>
      </c>
      <c r="BO17" s="53">
        <v>0</v>
      </c>
      <c r="BP17" s="119">
        <f t="shared" si="41"/>
        <v>14.857647058823531</v>
      </c>
      <c r="BQ17" s="120">
        <f t="shared" si="42"/>
        <v>6.151764705882353</v>
      </c>
      <c r="BR17" s="120">
        <f t="shared" si="43"/>
        <v>3.4011764705882355</v>
      </c>
      <c r="BS17" s="120">
        <f t="shared" si="44"/>
        <v>3.257647058823529</v>
      </c>
      <c r="BT17" s="120">
        <f t="shared" si="45"/>
        <v>1.1776470588235293</v>
      </c>
      <c r="BU17" s="120">
        <f t="shared" si="46"/>
        <v>0.8694117647058838</v>
      </c>
      <c r="BV17" s="190">
        <f t="shared" si="0"/>
        <v>14.857647058823531</v>
      </c>
      <c r="BW17" s="121">
        <f t="shared" si="1"/>
        <v>1262.9</v>
      </c>
      <c r="BX17" s="122">
        <f t="shared" si="47"/>
        <v>564.5905882352941</v>
      </c>
      <c r="BY17" s="121">
        <f t="shared" si="2"/>
        <v>0</v>
      </c>
      <c r="BZ17" s="121">
        <f t="shared" si="48"/>
        <v>564.5905882352941</v>
      </c>
      <c r="CA17" s="121">
        <f t="shared" si="3"/>
        <v>233.7670588235294</v>
      </c>
      <c r="CB17" s="121">
        <f t="shared" si="4"/>
        <v>129.24470588235295</v>
      </c>
      <c r="CC17" s="121">
        <f t="shared" si="5"/>
        <v>123.79058823529411</v>
      </c>
      <c r="CD17" s="121">
        <f t="shared" si="6"/>
        <v>44.75058823529411</v>
      </c>
      <c r="CE17" s="121">
        <f t="shared" si="7"/>
        <v>33.03764705882358</v>
      </c>
      <c r="CF17" s="123">
        <f t="shared" si="49"/>
        <v>698.309411764706</v>
      </c>
      <c r="CG17" s="121">
        <f t="shared" si="8"/>
        <v>0</v>
      </c>
      <c r="CH17" s="121">
        <f t="shared" si="50"/>
        <v>698.309411764706</v>
      </c>
      <c r="CI17" s="121">
        <f t="shared" si="9"/>
        <v>289.1329411764706</v>
      </c>
      <c r="CJ17" s="121">
        <f t="shared" si="10"/>
        <v>159.85529411764708</v>
      </c>
      <c r="CK17" s="121">
        <f t="shared" si="11"/>
        <v>153.10941176470587</v>
      </c>
      <c r="CL17" s="121">
        <f t="shared" si="12"/>
        <v>55.34941176470588</v>
      </c>
      <c r="CM17" s="121">
        <f t="shared" si="13"/>
        <v>40.86235294117654</v>
      </c>
      <c r="CN17" s="124">
        <f t="shared" si="51"/>
        <v>0</v>
      </c>
      <c r="CO17" s="121">
        <f t="shared" si="14"/>
        <v>0</v>
      </c>
      <c r="CP17" s="121">
        <f t="shared" si="52"/>
        <v>0</v>
      </c>
      <c r="CQ17" s="121">
        <f t="shared" si="15"/>
        <v>0</v>
      </c>
      <c r="CR17" s="121">
        <f t="shared" si="16"/>
        <v>0</v>
      </c>
      <c r="CS17" s="121">
        <f t="shared" si="17"/>
        <v>0</v>
      </c>
      <c r="CT17" s="121">
        <f t="shared" si="18"/>
        <v>0</v>
      </c>
      <c r="CU17" s="121">
        <f t="shared" si="19"/>
        <v>0</v>
      </c>
      <c r="CV17" s="121">
        <f t="shared" si="53"/>
        <v>1262.9</v>
      </c>
      <c r="CW17" s="121">
        <f t="shared" si="54"/>
        <v>0</v>
      </c>
      <c r="CX17" s="191">
        <f t="shared" si="55"/>
        <v>1262.9</v>
      </c>
      <c r="CY17" s="191">
        <f t="shared" si="56"/>
        <v>0</v>
      </c>
    </row>
    <row r="18" spans="1:103" ht="21">
      <c r="A18" s="88" t="s">
        <v>200</v>
      </c>
      <c r="B18" s="103">
        <v>105</v>
      </c>
      <c r="C18" s="103">
        <v>0</v>
      </c>
      <c r="D18" s="103">
        <v>31.7</v>
      </c>
      <c r="E18" s="103">
        <v>0</v>
      </c>
      <c r="F18" s="103">
        <v>0</v>
      </c>
      <c r="G18" s="104">
        <v>411.1</v>
      </c>
      <c r="H18" s="103">
        <v>214.8</v>
      </c>
      <c r="I18" s="103">
        <v>47</v>
      </c>
      <c r="J18" s="103">
        <v>13.8</v>
      </c>
      <c r="K18" s="103">
        <v>0</v>
      </c>
      <c r="L18" s="103">
        <v>15</v>
      </c>
      <c r="M18" s="105">
        <f t="shared" si="20"/>
        <v>838.3999999999999</v>
      </c>
      <c r="N18" s="88" t="s">
        <v>156</v>
      </c>
      <c r="O18" s="106">
        <v>31</v>
      </c>
      <c r="P18" s="106">
        <v>20</v>
      </c>
      <c r="Q18" s="106">
        <v>11</v>
      </c>
      <c r="R18" s="106">
        <v>0</v>
      </c>
      <c r="S18" s="107">
        <v>0</v>
      </c>
      <c r="T18" s="107">
        <v>0</v>
      </c>
      <c r="U18" s="108">
        <f t="shared" si="21"/>
        <v>0</v>
      </c>
      <c r="V18" s="109">
        <v>0</v>
      </c>
      <c r="W18" s="109">
        <v>0</v>
      </c>
      <c r="X18" s="110">
        <f t="shared" si="22"/>
        <v>0</v>
      </c>
      <c r="Y18" s="109">
        <v>0</v>
      </c>
      <c r="Z18" s="109">
        <v>0</v>
      </c>
      <c r="AA18" s="111">
        <f t="shared" si="23"/>
        <v>0</v>
      </c>
      <c r="AB18" s="112">
        <f t="shared" si="24"/>
        <v>0</v>
      </c>
      <c r="AC18" s="113">
        <v>411.1</v>
      </c>
      <c r="AD18" s="51">
        <v>0</v>
      </c>
      <c r="AE18" s="51">
        <v>0</v>
      </c>
      <c r="AF18" s="51">
        <f>4.3+96.7+13.8+12+1.5+2.3</f>
        <v>130.60000000000002</v>
      </c>
      <c r="AG18" s="51">
        <f>44+12.4+10+1+3+2+2+3.2+5+11.7+5.9+15</f>
        <v>115.20000000000002</v>
      </c>
      <c r="AH18" s="51">
        <v>0</v>
      </c>
      <c r="AI18" s="51">
        <f>1.4+3.4+1.8</f>
        <v>6.6</v>
      </c>
      <c r="AJ18" s="51">
        <v>9</v>
      </c>
      <c r="AK18" s="111">
        <f t="shared" si="25"/>
        <v>261.40000000000003</v>
      </c>
      <c r="AL18" s="51">
        <v>0</v>
      </c>
      <c r="AM18" s="51">
        <v>0</v>
      </c>
      <c r="AN18" s="51">
        <v>0</v>
      </c>
      <c r="AO18" s="111">
        <f t="shared" si="26"/>
        <v>0</v>
      </c>
      <c r="AP18" s="51">
        <v>0</v>
      </c>
      <c r="AQ18" s="114">
        <v>105</v>
      </c>
      <c r="AR18" s="114">
        <v>31.7</v>
      </c>
      <c r="AS18" s="111">
        <f t="shared" si="27"/>
        <v>136.7</v>
      </c>
      <c r="AT18" s="51">
        <f>9.3+3.4</f>
        <v>12.700000000000001</v>
      </c>
      <c r="AU18" s="51">
        <v>2.7</v>
      </c>
      <c r="AV18" s="114">
        <v>13.8</v>
      </c>
      <c r="AW18" s="115">
        <f t="shared" si="28"/>
        <v>838.4000000000001</v>
      </c>
      <c r="AX18" s="67">
        <f t="shared" si="29"/>
        <v>838.4000000000001</v>
      </c>
      <c r="AY18" s="51">
        <v>838.4</v>
      </c>
      <c r="AZ18" s="51">
        <f t="shared" si="57"/>
        <v>0</v>
      </c>
      <c r="BA18" s="116">
        <f t="shared" si="30"/>
        <v>0</v>
      </c>
      <c r="BB18" s="51">
        <f t="shared" si="31"/>
        <v>0</v>
      </c>
      <c r="BC18" s="51">
        <f t="shared" si="32"/>
        <v>0</v>
      </c>
      <c r="BD18" s="51">
        <f t="shared" si="33"/>
        <v>0</v>
      </c>
      <c r="BE18" s="117">
        <f t="shared" si="34"/>
        <v>838.4000000000001</v>
      </c>
      <c r="BF18" s="51">
        <f t="shared" si="35"/>
        <v>136.7</v>
      </c>
      <c r="BG18" s="118">
        <f t="shared" si="36"/>
        <v>411.1</v>
      </c>
      <c r="BH18" s="51">
        <f t="shared" si="37"/>
        <v>261.40000000000003</v>
      </c>
      <c r="BI18" s="51">
        <f t="shared" si="38"/>
        <v>0</v>
      </c>
      <c r="BJ18" s="51">
        <f t="shared" si="39"/>
        <v>29.19999999999999</v>
      </c>
      <c r="BK18" s="54">
        <f t="shared" si="40"/>
        <v>31</v>
      </c>
      <c r="BL18" s="52">
        <v>0</v>
      </c>
      <c r="BM18" s="53">
        <v>0</v>
      </c>
      <c r="BN18" s="53">
        <v>0</v>
      </c>
      <c r="BO18" s="53">
        <v>0</v>
      </c>
      <c r="BP18" s="119">
        <f t="shared" si="41"/>
        <v>27.045161290322582</v>
      </c>
      <c r="BQ18" s="120">
        <f t="shared" si="42"/>
        <v>4.409677419354838</v>
      </c>
      <c r="BR18" s="120">
        <f t="shared" si="43"/>
        <v>13.261290322580646</v>
      </c>
      <c r="BS18" s="120">
        <f t="shared" si="44"/>
        <v>8.43225806451613</v>
      </c>
      <c r="BT18" s="120">
        <f t="shared" si="45"/>
        <v>0</v>
      </c>
      <c r="BU18" s="120">
        <f t="shared" si="46"/>
        <v>0.9419354838709674</v>
      </c>
      <c r="BV18" s="190">
        <f t="shared" si="0"/>
        <v>27.045161290322582</v>
      </c>
      <c r="BW18" s="121">
        <f t="shared" si="1"/>
        <v>838.4000000000001</v>
      </c>
      <c r="BX18" s="122">
        <f t="shared" si="47"/>
        <v>540.9032258064517</v>
      </c>
      <c r="BY18" s="121">
        <f t="shared" si="2"/>
        <v>0</v>
      </c>
      <c r="BZ18" s="121">
        <f t="shared" si="48"/>
        <v>540.9032258064517</v>
      </c>
      <c r="CA18" s="121">
        <f t="shared" si="3"/>
        <v>88.19354838709677</v>
      </c>
      <c r="CB18" s="121">
        <f t="shared" si="4"/>
        <v>265.2258064516129</v>
      </c>
      <c r="CC18" s="121">
        <f t="shared" si="5"/>
        <v>168.64516129032262</v>
      </c>
      <c r="CD18" s="121">
        <f t="shared" si="6"/>
        <v>0</v>
      </c>
      <c r="CE18" s="121">
        <f t="shared" si="7"/>
        <v>18.83870967741935</v>
      </c>
      <c r="CF18" s="123">
        <f t="shared" si="49"/>
        <v>297.4967741935484</v>
      </c>
      <c r="CG18" s="121">
        <f t="shared" si="8"/>
        <v>0</v>
      </c>
      <c r="CH18" s="121">
        <f t="shared" si="50"/>
        <v>297.4967741935484</v>
      </c>
      <c r="CI18" s="121">
        <f t="shared" si="9"/>
        <v>48.50645161290322</v>
      </c>
      <c r="CJ18" s="121">
        <f t="shared" si="10"/>
        <v>145.8741935483871</v>
      </c>
      <c r="CK18" s="121">
        <f t="shared" si="11"/>
        <v>92.75483870967743</v>
      </c>
      <c r="CL18" s="121">
        <f t="shared" si="12"/>
        <v>0</v>
      </c>
      <c r="CM18" s="121">
        <f t="shared" si="13"/>
        <v>10.361290322580642</v>
      </c>
      <c r="CN18" s="124">
        <f t="shared" si="51"/>
        <v>0</v>
      </c>
      <c r="CO18" s="121">
        <f t="shared" si="14"/>
        <v>0</v>
      </c>
      <c r="CP18" s="121">
        <f t="shared" si="52"/>
        <v>0</v>
      </c>
      <c r="CQ18" s="121">
        <f t="shared" si="15"/>
        <v>0</v>
      </c>
      <c r="CR18" s="121">
        <f t="shared" si="16"/>
        <v>0</v>
      </c>
      <c r="CS18" s="121">
        <f t="shared" si="17"/>
        <v>0</v>
      </c>
      <c r="CT18" s="121">
        <f t="shared" si="18"/>
        <v>0</v>
      </c>
      <c r="CU18" s="121">
        <f t="shared" si="19"/>
        <v>0</v>
      </c>
      <c r="CV18" s="121">
        <f t="shared" si="53"/>
        <v>838.4000000000001</v>
      </c>
      <c r="CW18" s="121">
        <f t="shared" si="54"/>
        <v>0</v>
      </c>
      <c r="CX18" s="191">
        <f t="shared" si="55"/>
        <v>838.4000000000001</v>
      </c>
      <c r="CY18" s="191">
        <f t="shared" si="56"/>
        <v>0</v>
      </c>
    </row>
    <row r="19" spans="1:103" ht="21">
      <c r="A19" s="88" t="s">
        <v>201</v>
      </c>
      <c r="B19" s="103">
        <v>229.8</v>
      </c>
      <c r="C19" s="103">
        <v>0</v>
      </c>
      <c r="D19" s="103">
        <v>69.4</v>
      </c>
      <c r="E19" s="103">
        <v>0</v>
      </c>
      <c r="F19" s="103">
        <v>0</v>
      </c>
      <c r="G19" s="104">
        <v>242.4</v>
      </c>
      <c r="H19" s="103">
        <v>242.4</v>
      </c>
      <c r="I19" s="103">
        <v>85.2</v>
      </c>
      <c r="J19" s="103">
        <v>25.6</v>
      </c>
      <c r="K19" s="103">
        <v>0</v>
      </c>
      <c r="L19" s="103">
        <v>30</v>
      </c>
      <c r="M19" s="105">
        <f>SUM(B19:L19)</f>
        <v>924.8000000000001</v>
      </c>
      <c r="N19" s="88" t="s">
        <v>157</v>
      </c>
      <c r="O19" s="106">
        <v>41</v>
      </c>
      <c r="P19" s="106">
        <v>16</v>
      </c>
      <c r="Q19" s="106">
        <v>25</v>
      </c>
      <c r="R19" s="106">
        <v>0</v>
      </c>
      <c r="S19" s="107">
        <v>0</v>
      </c>
      <c r="T19" s="107">
        <v>0</v>
      </c>
      <c r="U19" s="108">
        <f t="shared" si="21"/>
        <v>0</v>
      </c>
      <c r="V19" s="109">
        <v>0</v>
      </c>
      <c r="W19" s="109">
        <v>0</v>
      </c>
      <c r="X19" s="110">
        <f t="shared" si="22"/>
        <v>0</v>
      </c>
      <c r="Y19" s="109">
        <v>0</v>
      </c>
      <c r="Z19" s="109">
        <v>0</v>
      </c>
      <c r="AA19" s="111">
        <f t="shared" si="23"/>
        <v>0</v>
      </c>
      <c r="AB19" s="112">
        <f t="shared" si="24"/>
        <v>0</v>
      </c>
      <c r="AC19" s="113">
        <v>242.4</v>
      </c>
      <c r="AD19" s="51">
        <v>0</v>
      </c>
      <c r="AE19" s="51">
        <v>0</v>
      </c>
      <c r="AF19" s="51">
        <f>5.3+1.7+11.1+12+2.3+6</f>
        <v>38.4</v>
      </c>
      <c r="AG19" s="51">
        <f>8.8+5.8+12.4+9+3+152.7+2+2+2+3.2+5+5.6+2.8+40+30</f>
        <v>284.29999999999995</v>
      </c>
      <c r="AH19" s="51">
        <v>0</v>
      </c>
      <c r="AI19" s="51">
        <f>5.3+1.1+2</f>
        <v>8.4</v>
      </c>
      <c r="AJ19" s="51">
        <v>3.9</v>
      </c>
      <c r="AK19" s="111">
        <f t="shared" si="25"/>
        <v>334.9999999999999</v>
      </c>
      <c r="AL19" s="51">
        <v>0</v>
      </c>
      <c r="AM19" s="51">
        <v>0</v>
      </c>
      <c r="AN19" s="51">
        <v>0</v>
      </c>
      <c r="AO19" s="111">
        <f t="shared" si="26"/>
        <v>0</v>
      </c>
      <c r="AP19" s="51">
        <v>0</v>
      </c>
      <c r="AQ19" s="114">
        <v>229.8</v>
      </c>
      <c r="AR19" s="114">
        <v>69.4</v>
      </c>
      <c r="AS19" s="111">
        <f t="shared" si="27"/>
        <v>299.20000000000005</v>
      </c>
      <c r="AT19" s="51">
        <f>16+3.9</f>
        <v>19.9</v>
      </c>
      <c r="AU19" s="51">
        <v>2.7</v>
      </c>
      <c r="AV19" s="114">
        <v>25.6</v>
      </c>
      <c r="AW19" s="115">
        <f t="shared" si="28"/>
        <v>924.8</v>
      </c>
      <c r="AX19" s="67">
        <f t="shared" si="29"/>
        <v>924.8</v>
      </c>
      <c r="AY19" s="51">
        <v>924.8</v>
      </c>
      <c r="AZ19" s="51">
        <f t="shared" si="57"/>
        <v>0</v>
      </c>
      <c r="BA19" s="116">
        <f t="shared" si="30"/>
        <v>0</v>
      </c>
      <c r="BB19" s="51">
        <f t="shared" si="31"/>
        <v>0</v>
      </c>
      <c r="BC19" s="51">
        <f t="shared" si="32"/>
        <v>0</v>
      </c>
      <c r="BD19" s="51">
        <f t="shared" si="33"/>
        <v>0</v>
      </c>
      <c r="BE19" s="117">
        <f t="shared" si="34"/>
        <v>924.8</v>
      </c>
      <c r="BF19" s="51">
        <f t="shared" si="35"/>
        <v>299.20000000000005</v>
      </c>
      <c r="BG19" s="118">
        <f t="shared" si="36"/>
        <v>242.4</v>
      </c>
      <c r="BH19" s="51">
        <f t="shared" si="37"/>
        <v>334.9999999999999</v>
      </c>
      <c r="BI19" s="51">
        <f t="shared" si="38"/>
        <v>0</v>
      </c>
      <c r="BJ19" s="51">
        <f t="shared" si="39"/>
        <v>48.200000000000045</v>
      </c>
      <c r="BK19" s="54">
        <f t="shared" si="40"/>
        <v>41</v>
      </c>
      <c r="BL19" s="52">
        <v>0</v>
      </c>
      <c r="BM19" s="53">
        <v>0</v>
      </c>
      <c r="BN19" s="53">
        <v>0</v>
      </c>
      <c r="BO19" s="53">
        <v>0</v>
      </c>
      <c r="BP19" s="119">
        <f t="shared" si="41"/>
        <v>22.55609756097561</v>
      </c>
      <c r="BQ19" s="120">
        <f t="shared" si="42"/>
        <v>7.297560975609757</v>
      </c>
      <c r="BR19" s="120">
        <f t="shared" si="43"/>
        <v>5.912195121951219</v>
      </c>
      <c r="BS19" s="120">
        <f t="shared" si="44"/>
        <v>8.17073170731707</v>
      </c>
      <c r="BT19" s="120">
        <f t="shared" si="45"/>
        <v>0</v>
      </c>
      <c r="BU19" s="120">
        <f t="shared" si="46"/>
        <v>1.175609756097562</v>
      </c>
      <c r="BV19" s="190">
        <f t="shared" si="0"/>
        <v>22.55609756097561</v>
      </c>
      <c r="BW19" s="121">
        <f t="shared" si="1"/>
        <v>924.8</v>
      </c>
      <c r="BX19" s="122">
        <f t="shared" si="47"/>
        <v>360.89756097560974</v>
      </c>
      <c r="BY19" s="121">
        <f t="shared" si="2"/>
        <v>0</v>
      </c>
      <c r="BZ19" s="121">
        <f t="shared" si="48"/>
        <v>360.89756097560974</v>
      </c>
      <c r="CA19" s="121">
        <f t="shared" si="3"/>
        <v>116.76097560975612</v>
      </c>
      <c r="CB19" s="121">
        <f t="shared" si="4"/>
        <v>94.59512195121951</v>
      </c>
      <c r="CC19" s="121">
        <f t="shared" si="5"/>
        <v>130.73170731707313</v>
      </c>
      <c r="CD19" s="121">
        <f t="shared" si="6"/>
        <v>0</v>
      </c>
      <c r="CE19" s="121">
        <f t="shared" si="7"/>
        <v>18.809756097560992</v>
      </c>
      <c r="CF19" s="123">
        <f t="shared" si="49"/>
        <v>563.9024390243902</v>
      </c>
      <c r="CG19" s="121">
        <f t="shared" si="8"/>
        <v>0</v>
      </c>
      <c r="CH19" s="121">
        <f t="shared" si="50"/>
        <v>563.9024390243902</v>
      </c>
      <c r="CI19" s="121">
        <f t="shared" si="9"/>
        <v>182.43902439024393</v>
      </c>
      <c r="CJ19" s="121">
        <f t="shared" si="10"/>
        <v>147.8048780487805</v>
      </c>
      <c r="CK19" s="121">
        <f t="shared" si="11"/>
        <v>204.26829268292676</v>
      </c>
      <c r="CL19" s="121">
        <f t="shared" si="12"/>
        <v>0</v>
      </c>
      <c r="CM19" s="121">
        <f t="shared" si="13"/>
        <v>29.39024390243905</v>
      </c>
      <c r="CN19" s="124">
        <f t="shared" si="51"/>
        <v>0</v>
      </c>
      <c r="CO19" s="121">
        <f t="shared" si="14"/>
        <v>0</v>
      </c>
      <c r="CP19" s="121">
        <f t="shared" si="52"/>
        <v>0</v>
      </c>
      <c r="CQ19" s="121">
        <f t="shared" si="15"/>
        <v>0</v>
      </c>
      <c r="CR19" s="121">
        <f t="shared" si="16"/>
        <v>0</v>
      </c>
      <c r="CS19" s="121">
        <f t="shared" si="17"/>
        <v>0</v>
      </c>
      <c r="CT19" s="121">
        <f t="shared" si="18"/>
        <v>0</v>
      </c>
      <c r="CU19" s="121">
        <f t="shared" si="19"/>
        <v>0</v>
      </c>
      <c r="CV19" s="121">
        <f t="shared" si="53"/>
        <v>924.8</v>
      </c>
      <c r="CW19" s="121">
        <f t="shared" si="54"/>
        <v>0</v>
      </c>
      <c r="CX19" s="191">
        <f t="shared" si="55"/>
        <v>924.8</v>
      </c>
      <c r="CY19" s="191">
        <f t="shared" si="56"/>
        <v>0</v>
      </c>
    </row>
    <row r="20" spans="1:103" ht="21">
      <c r="A20" s="88" t="s">
        <v>202</v>
      </c>
      <c r="B20" s="103">
        <v>335.6</v>
      </c>
      <c r="C20" s="103">
        <v>0</v>
      </c>
      <c r="D20" s="103">
        <v>101.4</v>
      </c>
      <c r="E20" s="103">
        <v>0</v>
      </c>
      <c r="F20" s="103">
        <v>0</v>
      </c>
      <c r="G20" s="104">
        <v>318.2</v>
      </c>
      <c r="H20" s="103">
        <v>134</v>
      </c>
      <c r="I20" s="103">
        <v>68.2</v>
      </c>
      <c r="J20" s="103">
        <v>65.4</v>
      </c>
      <c r="K20" s="103">
        <v>0</v>
      </c>
      <c r="L20" s="103">
        <v>60</v>
      </c>
      <c r="M20" s="105">
        <f t="shared" si="20"/>
        <v>1082.8000000000002</v>
      </c>
      <c r="N20" s="88" t="s">
        <v>158</v>
      </c>
      <c r="O20" s="106">
        <v>88</v>
      </c>
      <c r="P20" s="106">
        <v>0</v>
      </c>
      <c r="Q20" s="106">
        <v>29</v>
      </c>
      <c r="R20" s="106">
        <v>59</v>
      </c>
      <c r="S20" s="107">
        <v>0</v>
      </c>
      <c r="T20" s="107">
        <v>0</v>
      </c>
      <c r="U20" s="108">
        <f t="shared" si="21"/>
        <v>0</v>
      </c>
      <c r="V20" s="109">
        <v>0</v>
      </c>
      <c r="W20" s="109">
        <v>0</v>
      </c>
      <c r="X20" s="110">
        <f t="shared" si="22"/>
        <v>0</v>
      </c>
      <c r="Y20" s="109">
        <v>0</v>
      </c>
      <c r="Z20" s="109">
        <v>0</v>
      </c>
      <c r="AA20" s="111">
        <f t="shared" si="23"/>
        <v>0</v>
      </c>
      <c r="AB20" s="112">
        <f t="shared" si="24"/>
        <v>0</v>
      </c>
      <c r="AC20" s="113">
        <v>318.2</v>
      </c>
      <c r="AD20" s="51">
        <v>0</v>
      </c>
      <c r="AE20" s="51">
        <v>0</v>
      </c>
      <c r="AF20" s="51">
        <f>1.5+12.8+16.6+12+2.3+3.5</f>
        <v>48.7</v>
      </c>
      <c r="AG20" s="51">
        <f>12.4+21.5+7.3+7+3.5+14+2+2+3.2+5+6+6+60</f>
        <v>149.89999999999998</v>
      </c>
      <c r="AH20" s="51"/>
      <c r="AI20" s="51">
        <f>2.7+1.8</f>
        <v>4.5</v>
      </c>
      <c r="AJ20" s="51">
        <v>16.9</v>
      </c>
      <c r="AK20" s="111">
        <f t="shared" si="25"/>
        <v>219.99999999999997</v>
      </c>
      <c r="AL20" s="51">
        <v>0</v>
      </c>
      <c r="AM20" s="51">
        <v>0</v>
      </c>
      <c r="AN20" s="51">
        <v>0</v>
      </c>
      <c r="AO20" s="111">
        <f t="shared" si="26"/>
        <v>0</v>
      </c>
      <c r="AP20" s="51">
        <v>0</v>
      </c>
      <c r="AQ20" s="114">
        <v>335.6</v>
      </c>
      <c r="AR20" s="114">
        <v>101.4</v>
      </c>
      <c r="AS20" s="111">
        <f t="shared" si="27"/>
        <v>437</v>
      </c>
      <c r="AT20" s="51">
        <f>10.9+4.3</f>
        <v>15.2</v>
      </c>
      <c r="AU20" s="51">
        <v>27</v>
      </c>
      <c r="AV20" s="114">
        <v>65.4</v>
      </c>
      <c r="AW20" s="115">
        <f t="shared" si="28"/>
        <v>1082.8</v>
      </c>
      <c r="AX20" s="67">
        <f t="shared" si="29"/>
        <v>1082.8</v>
      </c>
      <c r="AY20" s="51">
        <v>1082.8</v>
      </c>
      <c r="AZ20" s="51">
        <f t="shared" si="57"/>
        <v>0</v>
      </c>
      <c r="BA20" s="116">
        <f t="shared" si="30"/>
        <v>0</v>
      </c>
      <c r="BB20" s="51">
        <f t="shared" si="31"/>
        <v>0</v>
      </c>
      <c r="BC20" s="51">
        <f t="shared" si="32"/>
        <v>0</v>
      </c>
      <c r="BD20" s="51">
        <f t="shared" si="33"/>
        <v>0</v>
      </c>
      <c r="BE20" s="117">
        <f t="shared" si="34"/>
        <v>1082.8</v>
      </c>
      <c r="BF20" s="51">
        <f t="shared" si="35"/>
        <v>437</v>
      </c>
      <c r="BG20" s="118">
        <f t="shared" si="36"/>
        <v>318.2</v>
      </c>
      <c r="BH20" s="51">
        <f t="shared" si="37"/>
        <v>219.99999999999997</v>
      </c>
      <c r="BI20" s="51">
        <f t="shared" si="38"/>
        <v>0</v>
      </c>
      <c r="BJ20" s="51">
        <f t="shared" si="39"/>
        <v>107.6</v>
      </c>
      <c r="BK20" s="54">
        <f t="shared" si="40"/>
        <v>88</v>
      </c>
      <c r="BL20" s="52">
        <v>0</v>
      </c>
      <c r="BM20" s="53">
        <v>0</v>
      </c>
      <c r="BN20" s="53">
        <v>0</v>
      </c>
      <c r="BO20" s="53">
        <v>0</v>
      </c>
      <c r="BP20" s="119">
        <f t="shared" si="41"/>
        <v>12.304545454545455</v>
      </c>
      <c r="BQ20" s="120">
        <f t="shared" si="42"/>
        <v>4.965909090909091</v>
      </c>
      <c r="BR20" s="120">
        <f t="shared" si="43"/>
        <v>3.6159090909090907</v>
      </c>
      <c r="BS20" s="120">
        <f t="shared" si="44"/>
        <v>2.4999999999999996</v>
      </c>
      <c r="BT20" s="120">
        <f t="shared" si="45"/>
        <v>0</v>
      </c>
      <c r="BU20" s="120">
        <f t="shared" si="46"/>
        <v>1.2227272727272727</v>
      </c>
      <c r="BV20" s="190">
        <f t="shared" si="0"/>
        <v>12.304545454545455</v>
      </c>
      <c r="BW20" s="121">
        <f t="shared" si="1"/>
        <v>1082.8</v>
      </c>
      <c r="BX20" s="122">
        <f t="shared" si="47"/>
        <v>0</v>
      </c>
      <c r="BY20" s="121">
        <f t="shared" si="2"/>
        <v>0</v>
      </c>
      <c r="BZ20" s="121">
        <f t="shared" si="48"/>
        <v>0</v>
      </c>
      <c r="CA20" s="121">
        <f t="shared" si="3"/>
        <v>0</v>
      </c>
      <c r="CB20" s="121">
        <f t="shared" si="4"/>
        <v>0</v>
      </c>
      <c r="CC20" s="121">
        <f t="shared" si="5"/>
        <v>0</v>
      </c>
      <c r="CD20" s="121">
        <f t="shared" si="6"/>
        <v>0</v>
      </c>
      <c r="CE20" s="121">
        <f t="shared" si="7"/>
        <v>0</v>
      </c>
      <c r="CF20" s="123">
        <f t="shared" si="49"/>
        <v>356.83181818181816</v>
      </c>
      <c r="CG20" s="121">
        <f t="shared" si="8"/>
        <v>0</v>
      </c>
      <c r="CH20" s="121">
        <f t="shared" si="50"/>
        <v>356.83181818181816</v>
      </c>
      <c r="CI20" s="121">
        <f t="shared" si="9"/>
        <v>144.01136363636363</v>
      </c>
      <c r="CJ20" s="121">
        <f t="shared" si="10"/>
        <v>104.86136363636363</v>
      </c>
      <c r="CK20" s="121">
        <f t="shared" si="11"/>
        <v>72.49999999999999</v>
      </c>
      <c r="CL20" s="121">
        <f t="shared" si="12"/>
        <v>0</v>
      </c>
      <c r="CM20" s="121">
        <f t="shared" si="13"/>
        <v>35.459090909090904</v>
      </c>
      <c r="CN20" s="124">
        <f t="shared" si="51"/>
        <v>725.9681818181817</v>
      </c>
      <c r="CO20" s="121">
        <f t="shared" si="14"/>
        <v>0</v>
      </c>
      <c r="CP20" s="121">
        <f t="shared" si="52"/>
        <v>725.9681818181817</v>
      </c>
      <c r="CQ20" s="121">
        <f t="shared" si="15"/>
        <v>292.9886363636364</v>
      </c>
      <c r="CR20" s="121">
        <f t="shared" si="16"/>
        <v>213.33863636363634</v>
      </c>
      <c r="CS20" s="121">
        <f t="shared" si="17"/>
        <v>147.49999999999997</v>
      </c>
      <c r="CT20" s="121">
        <f t="shared" si="18"/>
        <v>0</v>
      </c>
      <c r="CU20" s="121">
        <f t="shared" si="19"/>
        <v>72.14090909090909</v>
      </c>
      <c r="CV20" s="121">
        <f t="shared" si="53"/>
        <v>1082.8</v>
      </c>
      <c r="CW20" s="121">
        <f t="shared" si="54"/>
        <v>0</v>
      </c>
      <c r="CX20" s="191">
        <f t="shared" si="55"/>
        <v>1082.8</v>
      </c>
      <c r="CY20" s="191">
        <f t="shared" si="56"/>
        <v>0</v>
      </c>
    </row>
    <row r="21" spans="1:103" ht="21">
      <c r="A21" s="89" t="s">
        <v>81</v>
      </c>
      <c r="B21" s="126">
        <f aca="true" t="shared" si="58" ref="B21:M21">SUM(B5:B20)</f>
        <v>8697.5</v>
      </c>
      <c r="C21" s="126">
        <f t="shared" si="58"/>
        <v>0</v>
      </c>
      <c r="D21" s="126">
        <f t="shared" si="58"/>
        <v>2626.9000000000005</v>
      </c>
      <c r="E21" s="126">
        <f t="shared" si="58"/>
        <v>90</v>
      </c>
      <c r="F21" s="126">
        <f t="shared" si="58"/>
        <v>4.8</v>
      </c>
      <c r="G21" s="126">
        <f t="shared" si="58"/>
        <v>15212.800000000001</v>
      </c>
      <c r="H21" s="126">
        <f t="shared" si="58"/>
        <v>4141.300000000001</v>
      </c>
      <c r="I21" s="126">
        <f t="shared" si="58"/>
        <v>1952.8000000000002</v>
      </c>
      <c r="J21" s="126">
        <f t="shared" si="58"/>
        <v>2154.1000000000004</v>
      </c>
      <c r="K21" s="126">
        <f t="shared" si="58"/>
        <v>0</v>
      </c>
      <c r="L21" s="126">
        <f t="shared" si="58"/>
        <v>4220.2</v>
      </c>
      <c r="M21" s="105">
        <f t="shared" si="58"/>
        <v>39100.40000000001</v>
      </c>
      <c r="N21" s="89" t="s">
        <v>81</v>
      </c>
      <c r="O21" s="127">
        <f>SUM(O5:O20)</f>
        <v>3498</v>
      </c>
      <c r="P21" s="127">
        <f>SUM(P5:P20)</f>
        <v>1489</v>
      </c>
      <c r="Q21" s="127">
        <f>SUM(Q5:Q20)</f>
        <v>1736</v>
      </c>
      <c r="R21" s="127">
        <f>SUM(R5:R20)</f>
        <v>273</v>
      </c>
      <c r="S21" s="128">
        <f>SUM(S5:S20)</f>
        <v>0</v>
      </c>
      <c r="T21" s="128">
        <f aca="true" t="shared" si="59" ref="T21:CD21">SUM(T5:T20)</f>
        <v>0</v>
      </c>
      <c r="U21" s="128">
        <f t="shared" si="59"/>
        <v>0</v>
      </c>
      <c r="V21" s="128">
        <f t="shared" si="59"/>
        <v>0</v>
      </c>
      <c r="W21" s="128">
        <f t="shared" si="59"/>
        <v>0</v>
      </c>
      <c r="X21" s="128">
        <f t="shared" si="59"/>
        <v>0</v>
      </c>
      <c r="Y21" s="128">
        <f t="shared" si="59"/>
        <v>0</v>
      </c>
      <c r="Z21" s="128">
        <f t="shared" si="59"/>
        <v>0</v>
      </c>
      <c r="AA21" s="128">
        <f t="shared" si="59"/>
        <v>0</v>
      </c>
      <c r="AB21" s="128">
        <f t="shared" si="59"/>
        <v>0</v>
      </c>
      <c r="AC21" s="128">
        <f t="shared" si="59"/>
        <v>15212.800000000001</v>
      </c>
      <c r="AD21" s="128">
        <f t="shared" si="59"/>
        <v>0</v>
      </c>
      <c r="AE21" s="128">
        <f t="shared" si="59"/>
        <v>0</v>
      </c>
      <c r="AF21" s="128">
        <f t="shared" si="59"/>
        <v>1494.6000000000006</v>
      </c>
      <c r="AG21" s="128">
        <f t="shared" si="59"/>
        <v>3232.6999999999994</v>
      </c>
      <c r="AH21" s="128">
        <f t="shared" si="59"/>
        <v>92</v>
      </c>
      <c r="AI21" s="128">
        <f t="shared" si="59"/>
        <v>256.5</v>
      </c>
      <c r="AJ21" s="128">
        <f t="shared" si="59"/>
        <v>345.8999999999999</v>
      </c>
      <c r="AK21" s="128">
        <f t="shared" si="59"/>
        <v>5421.699999999999</v>
      </c>
      <c r="AL21" s="128">
        <f t="shared" si="59"/>
        <v>773.4</v>
      </c>
      <c r="AM21" s="128">
        <f t="shared" si="59"/>
        <v>105.70000000000002</v>
      </c>
      <c r="AN21" s="128">
        <f t="shared" si="59"/>
        <v>3139.7999999999997</v>
      </c>
      <c r="AO21" s="128">
        <f t="shared" si="59"/>
        <v>4018.9</v>
      </c>
      <c r="AP21" s="128">
        <f t="shared" si="59"/>
        <v>4.8</v>
      </c>
      <c r="AQ21" s="128">
        <f t="shared" si="59"/>
        <v>8697.5</v>
      </c>
      <c r="AR21" s="128">
        <f t="shared" si="59"/>
        <v>2626.9000000000005</v>
      </c>
      <c r="AS21" s="128">
        <f t="shared" si="59"/>
        <v>11324.400000000003</v>
      </c>
      <c r="AT21" s="128">
        <f t="shared" si="59"/>
        <v>759.4000000000001</v>
      </c>
      <c r="AU21" s="128">
        <f t="shared" si="59"/>
        <v>204.2999999999999</v>
      </c>
      <c r="AV21" s="128">
        <f t="shared" si="59"/>
        <v>2154.1000000000004</v>
      </c>
      <c r="AW21" s="128">
        <f t="shared" si="59"/>
        <v>39100.40000000001</v>
      </c>
      <c r="AX21" s="128">
        <f t="shared" si="59"/>
        <v>39100.40000000001</v>
      </c>
      <c r="AY21" s="128">
        <f t="shared" si="59"/>
        <v>39100.40000000001</v>
      </c>
      <c r="AZ21" s="128">
        <f t="shared" si="59"/>
        <v>0</v>
      </c>
      <c r="BA21" s="128">
        <f t="shared" si="59"/>
        <v>0</v>
      </c>
      <c r="BB21" s="128">
        <f t="shared" si="59"/>
        <v>0</v>
      </c>
      <c r="BC21" s="128">
        <f t="shared" si="59"/>
        <v>0</v>
      </c>
      <c r="BD21" s="128">
        <f t="shared" si="59"/>
        <v>0</v>
      </c>
      <c r="BE21" s="128">
        <f t="shared" si="59"/>
        <v>39100.40000000001</v>
      </c>
      <c r="BF21" s="128">
        <f t="shared" si="59"/>
        <v>11324.400000000003</v>
      </c>
      <c r="BG21" s="128">
        <f t="shared" si="59"/>
        <v>15212.800000000001</v>
      </c>
      <c r="BH21" s="128">
        <f t="shared" si="59"/>
        <v>5421.699999999999</v>
      </c>
      <c r="BI21" s="128">
        <f t="shared" si="59"/>
        <v>4018.9</v>
      </c>
      <c r="BJ21" s="128">
        <f t="shared" si="59"/>
        <v>3122.6000000000017</v>
      </c>
      <c r="BK21" s="128">
        <f t="shared" si="59"/>
        <v>3498</v>
      </c>
      <c r="BL21" s="128">
        <f t="shared" si="59"/>
        <v>0</v>
      </c>
      <c r="BM21" s="128">
        <f t="shared" si="59"/>
        <v>0</v>
      </c>
      <c r="BN21" s="128">
        <f t="shared" si="59"/>
        <v>0</v>
      </c>
      <c r="BO21" s="128">
        <f t="shared" si="59"/>
        <v>0</v>
      </c>
      <c r="BP21" s="119">
        <f t="shared" si="41"/>
        <v>11.177930245854775</v>
      </c>
      <c r="BQ21" s="120">
        <f t="shared" si="42"/>
        <v>3.237392795883363</v>
      </c>
      <c r="BR21" s="120">
        <f t="shared" si="43"/>
        <v>4.348999428244712</v>
      </c>
      <c r="BS21" s="120">
        <f t="shared" si="44"/>
        <v>1.549942824471126</v>
      </c>
      <c r="BT21" s="120">
        <f t="shared" si="45"/>
        <v>1.148913664951401</v>
      </c>
      <c r="BU21" s="120">
        <f t="shared" si="46"/>
        <v>0.8926815323041744</v>
      </c>
      <c r="BV21" s="190">
        <f t="shared" si="0"/>
        <v>11.177930245854775</v>
      </c>
      <c r="BW21" s="128">
        <f t="shared" si="59"/>
        <v>39100.400000000016</v>
      </c>
      <c r="BX21" s="128">
        <f t="shared" si="59"/>
        <v>16457.0394359225</v>
      </c>
      <c r="BY21" s="128">
        <f t="shared" si="59"/>
        <v>0</v>
      </c>
      <c r="BZ21" s="128">
        <f t="shared" si="59"/>
        <v>16457.0394359225</v>
      </c>
      <c r="CA21" s="128">
        <f t="shared" si="59"/>
        <v>4618.764718748334</v>
      </c>
      <c r="CB21" s="128">
        <f t="shared" si="59"/>
        <v>6576.178251057461</v>
      </c>
      <c r="CC21" s="128">
        <f t="shared" si="59"/>
        <v>2283.6409013444004</v>
      </c>
      <c r="CD21" s="128">
        <f t="shared" si="59"/>
        <v>1662.8450550725065</v>
      </c>
      <c r="CE21" s="128">
        <f aca="true" t="shared" si="60" ref="CE21:CW21">SUM(CE5:CE20)</f>
        <v>1315.6105096997962</v>
      </c>
      <c r="CF21" s="128">
        <f t="shared" si="60"/>
        <v>19327.862697925502</v>
      </c>
      <c r="CG21" s="128">
        <f t="shared" si="60"/>
        <v>0</v>
      </c>
      <c r="CH21" s="128">
        <f t="shared" si="60"/>
        <v>19327.862697925502</v>
      </c>
      <c r="CI21" s="128">
        <f t="shared" si="60"/>
        <v>5651.234923992333</v>
      </c>
      <c r="CJ21" s="128">
        <f t="shared" si="60"/>
        <v>7446.479001570111</v>
      </c>
      <c r="CK21" s="128">
        <f t="shared" si="60"/>
        <v>2674.3892828320627</v>
      </c>
      <c r="CL21" s="128">
        <f t="shared" si="60"/>
        <v>2029.6116890003505</v>
      </c>
      <c r="CM21" s="128">
        <f t="shared" si="60"/>
        <v>1526.147800530643</v>
      </c>
      <c r="CN21" s="128">
        <f t="shared" si="60"/>
        <v>3315.497866152003</v>
      </c>
      <c r="CO21" s="128">
        <f t="shared" si="60"/>
        <v>0</v>
      </c>
      <c r="CP21" s="128">
        <f t="shared" si="60"/>
        <v>3315.497866152003</v>
      </c>
      <c r="CQ21" s="128">
        <f t="shared" si="60"/>
        <v>1054.4003572593333</v>
      </c>
      <c r="CR21" s="128">
        <f t="shared" si="60"/>
        <v>1190.142747372428</v>
      </c>
      <c r="CS21" s="128">
        <f t="shared" si="60"/>
        <v>463.66981582353685</v>
      </c>
      <c r="CT21" s="128">
        <f t="shared" si="60"/>
        <v>326.44325592714324</v>
      </c>
      <c r="CU21" s="128">
        <f t="shared" si="60"/>
        <v>280.8416897695623</v>
      </c>
      <c r="CV21" s="128">
        <f t="shared" si="60"/>
        <v>39100.40000000001</v>
      </c>
      <c r="CW21" s="128">
        <f t="shared" si="60"/>
        <v>0</v>
      </c>
      <c r="CX21" s="191">
        <f t="shared" si="55"/>
        <v>39100.40000000001</v>
      </c>
      <c r="CY21" s="191">
        <f t="shared" si="56"/>
        <v>0</v>
      </c>
    </row>
    <row r="22" spans="15:74" ht="21">
      <c r="O22" s="252">
        <f>(O5+O6+O7+O20)</f>
        <v>1590</v>
      </c>
      <c r="P22" s="252">
        <f aca="true" t="shared" si="61" ref="P22:BK22">(P5+P6+P7+P20)</f>
        <v>662</v>
      </c>
      <c r="Q22" s="252">
        <f t="shared" si="61"/>
        <v>776</v>
      </c>
      <c r="R22" s="252">
        <f t="shared" si="61"/>
        <v>152</v>
      </c>
      <c r="S22" s="252">
        <f t="shared" si="61"/>
        <v>0</v>
      </c>
      <c r="T22" s="252">
        <f t="shared" si="61"/>
        <v>0</v>
      </c>
      <c r="U22" s="252">
        <f t="shared" si="61"/>
        <v>0</v>
      </c>
      <c r="V22" s="252">
        <f t="shared" si="61"/>
        <v>0</v>
      </c>
      <c r="W22" s="252">
        <f t="shared" si="61"/>
        <v>0</v>
      </c>
      <c r="X22" s="252">
        <f t="shared" si="61"/>
        <v>0</v>
      </c>
      <c r="Y22" s="252">
        <f t="shared" si="61"/>
        <v>0</v>
      </c>
      <c r="Z22" s="252">
        <f t="shared" si="61"/>
        <v>0</v>
      </c>
      <c r="AA22" s="252">
        <f t="shared" si="61"/>
        <v>0</v>
      </c>
      <c r="AB22" s="252">
        <f t="shared" si="61"/>
        <v>0</v>
      </c>
      <c r="AC22" s="252">
        <f t="shared" si="61"/>
        <v>5841</v>
      </c>
      <c r="AD22" s="252">
        <f t="shared" si="61"/>
        <v>0</v>
      </c>
      <c r="AE22" s="252">
        <f t="shared" si="61"/>
        <v>0</v>
      </c>
      <c r="AF22" s="252">
        <f t="shared" si="61"/>
        <v>343.40000000000003</v>
      </c>
      <c r="AG22" s="252">
        <f t="shared" si="61"/>
        <v>932.4999999999999</v>
      </c>
      <c r="AH22" s="252">
        <f t="shared" si="61"/>
        <v>0</v>
      </c>
      <c r="AI22" s="252">
        <f t="shared" si="61"/>
        <v>80.2</v>
      </c>
      <c r="AJ22" s="252">
        <f t="shared" si="61"/>
        <v>222.6</v>
      </c>
      <c r="AK22" s="252">
        <f t="shared" si="61"/>
        <v>1578.7</v>
      </c>
      <c r="AL22" s="252">
        <f t="shared" si="61"/>
        <v>52</v>
      </c>
      <c r="AM22" s="252">
        <f t="shared" si="61"/>
        <v>7.9</v>
      </c>
      <c r="AN22" s="252">
        <f t="shared" si="61"/>
        <v>69.89999999999999</v>
      </c>
      <c r="AO22" s="252">
        <f t="shared" si="61"/>
        <v>129.79999999999998</v>
      </c>
      <c r="AP22" s="252">
        <f t="shared" si="61"/>
        <v>4.8</v>
      </c>
      <c r="AQ22" s="252">
        <f t="shared" si="61"/>
        <v>2026.4</v>
      </c>
      <c r="AR22" s="252">
        <f t="shared" si="61"/>
        <v>612.1</v>
      </c>
      <c r="AS22" s="252">
        <f t="shared" si="61"/>
        <v>2638.5</v>
      </c>
      <c r="AT22" s="252">
        <f t="shared" si="61"/>
        <v>185.89999999999998</v>
      </c>
      <c r="AU22" s="252">
        <f t="shared" si="61"/>
        <v>108</v>
      </c>
      <c r="AV22" s="252">
        <f t="shared" si="61"/>
        <v>1464.1000000000001</v>
      </c>
      <c r="AW22" s="252">
        <f t="shared" si="61"/>
        <v>11950.8</v>
      </c>
      <c r="AX22" s="252">
        <f t="shared" si="61"/>
        <v>11950.8</v>
      </c>
      <c r="AY22" s="252">
        <f t="shared" si="61"/>
        <v>11950.8</v>
      </c>
      <c r="AZ22" s="252">
        <f t="shared" si="61"/>
        <v>0</v>
      </c>
      <c r="BA22" s="252">
        <f t="shared" si="61"/>
        <v>0</v>
      </c>
      <c r="BB22" s="252">
        <f t="shared" si="61"/>
        <v>0</v>
      </c>
      <c r="BC22" s="252">
        <f t="shared" si="61"/>
        <v>0</v>
      </c>
      <c r="BD22" s="252">
        <f t="shared" si="61"/>
        <v>0</v>
      </c>
      <c r="BE22" s="252">
        <f t="shared" si="61"/>
        <v>11950.8</v>
      </c>
      <c r="BF22" s="252">
        <f t="shared" si="61"/>
        <v>2638.5</v>
      </c>
      <c r="BG22" s="252">
        <f t="shared" si="61"/>
        <v>5841</v>
      </c>
      <c r="BH22" s="252">
        <f t="shared" si="61"/>
        <v>1578.7</v>
      </c>
      <c r="BI22" s="252">
        <f t="shared" si="61"/>
        <v>129.79999999999998</v>
      </c>
      <c r="BJ22" s="252">
        <f t="shared" si="61"/>
        <v>1762.8000000000006</v>
      </c>
      <c r="BK22" s="252">
        <f t="shared" si="61"/>
        <v>1590</v>
      </c>
      <c r="BR22" s="120">
        <f t="shared" si="43"/>
        <v>3.6735849056603773</v>
      </c>
      <c r="BV22" s="250">
        <f>(BV5+BV6+BV7+BV20)/4</f>
        <v>8.575328656452815</v>
      </c>
    </row>
    <row r="23" spans="13:74" ht="21">
      <c r="M23" s="129"/>
      <c r="O23" s="252">
        <f>(O8+O9+O10+O11+O12+O13+O14+O15+O16+O17+O18+O19)</f>
        <v>1908</v>
      </c>
      <c r="P23" s="252">
        <f aca="true" t="shared" si="62" ref="P23:BK23">(P8+P9+P10+P11+P12+P13+P14+P15+P16+P17+P18+P19)</f>
        <v>827</v>
      </c>
      <c r="Q23" s="252">
        <f t="shared" si="62"/>
        <v>960</v>
      </c>
      <c r="R23" s="252">
        <f t="shared" si="62"/>
        <v>121</v>
      </c>
      <c r="S23" s="252">
        <f t="shared" si="62"/>
        <v>0</v>
      </c>
      <c r="T23" s="252">
        <f t="shared" si="62"/>
        <v>0</v>
      </c>
      <c r="U23" s="252">
        <f t="shared" si="62"/>
        <v>0</v>
      </c>
      <c r="V23" s="252">
        <f t="shared" si="62"/>
        <v>0</v>
      </c>
      <c r="W23" s="252">
        <f t="shared" si="62"/>
        <v>0</v>
      </c>
      <c r="X23" s="252">
        <f t="shared" si="62"/>
        <v>0</v>
      </c>
      <c r="Y23" s="252">
        <f t="shared" si="62"/>
        <v>0</v>
      </c>
      <c r="Z23" s="252">
        <f t="shared" si="62"/>
        <v>0</v>
      </c>
      <c r="AA23" s="252">
        <f t="shared" si="62"/>
        <v>0</v>
      </c>
      <c r="AB23" s="252">
        <f t="shared" si="62"/>
        <v>0</v>
      </c>
      <c r="AC23" s="252">
        <f t="shared" si="62"/>
        <v>9371.800000000001</v>
      </c>
      <c r="AD23" s="252">
        <f t="shared" si="62"/>
        <v>0</v>
      </c>
      <c r="AE23" s="252">
        <f t="shared" si="62"/>
        <v>0</v>
      </c>
      <c r="AF23" s="252">
        <f t="shared" si="62"/>
        <v>1151.2000000000003</v>
      </c>
      <c r="AG23" s="252">
        <f t="shared" si="62"/>
        <v>2300.2</v>
      </c>
      <c r="AH23" s="252">
        <f t="shared" si="62"/>
        <v>92</v>
      </c>
      <c r="AI23" s="252">
        <f t="shared" si="62"/>
        <v>176.29999999999998</v>
      </c>
      <c r="AJ23" s="252">
        <f t="shared" si="62"/>
        <v>123.3</v>
      </c>
      <c r="AK23" s="252">
        <f t="shared" si="62"/>
        <v>3843.0000000000005</v>
      </c>
      <c r="AL23" s="252">
        <f t="shared" si="62"/>
        <v>721.4</v>
      </c>
      <c r="AM23" s="252">
        <f t="shared" si="62"/>
        <v>97.80000000000001</v>
      </c>
      <c r="AN23" s="252">
        <f t="shared" si="62"/>
        <v>3069.8999999999996</v>
      </c>
      <c r="AO23" s="252">
        <f t="shared" si="62"/>
        <v>3889.1</v>
      </c>
      <c r="AP23" s="252">
        <f t="shared" si="62"/>
        <v>0</v>
      </c>
      <c r="AQ23" s="252">
        <f t="shared" si="62"/>
        <v>6671.100000000001</v>
      </c>
      <c r="AR23" s="252">
        <f t="shared" si="62"/>
        <v>2014.8</v>
      </c>
      <c r="AS23" s="252">
        <f t="shared" si="62"/>
        <v>8685.900000000001</v>
      </c>
      <c r="AT23" s="252">
        <f t="shared" si="62"/>
        <v>573.5</v>
      </c>
      <c r="AU23" s="252">
        <f t="shared" si="62"/>
        <v>96.30000000000003</v>
      </c>
      <c r="AV23" s="252">
        <f t="shared" si="62"/>
        <v>690</v>
      </c>
      <c r="AW23" s="252">
        <f t="shared" si="62"/>
        <v>27149.600000000002</v>
      </c>
      <c r="AX23" s="252">
        <f t="shared" si="62"/>
        <v>27149.600000000002</v>
      </c>
      <c r="AY23" s="252">
        <f t="shared" si="62"/>
        <v>27149.6</v>
      </c>
      <c r="AZ23" s="252">
        <f t="shared" si="62"/>
        <v>0</v>
      </c>
      <c r="BA23" s="252">
        <f t="shared" si="62"/>
        <v>0</v>
      </c>
      <c r="BB23" s="252">
        <f t="shared" si="62"/>
        <v>0</v>
      </c>
      <c r="BC23" s="252">
        <f t="shared" si="62"/>
        <v>0</v>
      </c>
      <c r="BD23" s="252">
        <f t="shared" si="62"/>
        <v>0</v>
      </c>
      <c r="BE23" s="252">
        <f t="shared" si="62"/>
        <v>27149.600000000002</v>
      </c>
      <c r="BF23" s="252">
        <f t="shared" si="62"/>
        <v>8685.900000000001</v>
      </c>
      <c r="BG23" s="252">
        <f t="shared" si="62"/>
        <v>9371.800000000001</v>
      </c>
      <c r="BH23" s="252">
        <f t="shared" si="62"/>
        <v>3843.0000000000005</v>
      </c>
      <c r="BI23" s="252">
        <f t="shared" si="62"/>
        <v>3889.1</v>
      </c>
      <c r="BJ23" s="252">
        <f t="shared" si="62"/>
        <v>1359.800000000001</v>
      </c>
      <c r="BK23" s="252">
        <f t="shared" si="62"/>
        <v>1908</v>
      </c>
      <c r="BV23" s="251">
        <f>(BV8+BV9+BV10+BV11+BV12+BV13+BV14+BV15+BV16+BV17+BV18+BV19)/12</f>
        <v>18.609473624586233</v>
      </c>
    </row>
    <row r="24" spans="1:18" ht="21">
      <c r="A24" s="253" t="s">
        <v>250</v>
      </c>
      <c r="O24" s="88">
        <f>O9+O11+O13+O14+O15+O16+O17+O18+O19</f>
        <v>857</v>
      </c>
      <c r="P24" s="88">
        <f>P9+P11+P13+P14+P15+P16+P17+P18+P19</f>
        <v>370</v>
      </c>
      <c r="Q24" s="88">
        <f>Q9+Q11+Q13+Q14+Q15+Q16+Q17+Q18+Q19</f>
        <v>426</v>
      </c>
      <c r="R24" s="88">
        <f>R9+R11+R13+R14+R15+R16+R17+R18+R19</f>
        <v>61</v>
      </c>
    </row>
  </sheetData>
  <sheetProtection/>
  <mergeCells count="49">
    <mergeCell ref="AC3:AC4"/>
    <mergeCell ref="AD3:AK3"/>
    <mergeCell ref="AL3:AO3"/>
    <mergeCell ref="BX3:BX4"/>
    <mergeCell ref="BY3:BY4"/>
    <mergeCell ref="BZ3:CE3"/>
    <mergeCell ref="BW2:BW4"/>
    <mergeCell ref="BX2:CE2"/>
    <mergeCell ref="BQ3:BU3"/>
    <mergeCell ref="O2:R2"/>
    <mergeCell ref="S2:AB2"/>
    <mergeCell ref="AC2:AU2"/>
    <mergeCell ref="AX2:AX4"/>
    <mergeCell ref="BA2:BD2"/>
    <mergeCell ref="BE2:BJ2"/>
    <mergeCell ref="AB3:AB4"/>
    <mergeCell ref="P3:P4"/>
    <mergeCell ref="Q3:Q4"/>
    <mergeCell ref="R3:R4"/>
    <mergeCell ref="S3:U3"/>
    <mergeCell ref="V3:X3"/>
    <mergeCell ref="Y3:AA3"/>
    <mergeCell ref="AW3:AW4"/>
    <mergeCell ref="BA3:BA4"/>
    <mergeCell ref="CF2:CM2"/>
    <mergeCell ref="BB3:BD3"/>
    <mergeCell ref="BE3:BE4"/>
    <mergeCell ref="BF3:BJ3"/>
    <mergeCell ref="BP3:BP4"/>
    <mergeCell ref="CN2:CU2"/>
    <mergeCell ref="CV2:CV4"/>
    <mergeCell ref="CW2:CW4"/>
    <mergeCell ref="BK2:BK3"/>
    <mergeCell ref="BL2:BO2"/>
    <mergeCell ref="BP2:BU2"/>
    <mergeCell ref="BV2:BV4"/>
    <mergeCell ref="CP3:CU3"/>
    <mergeCell ref="BL3:BL4"/>
    <mergeCell ref="BM3:BO3"/>
    <mergeCell ref="A2:A4"/>
    <mergeCell ref="CF3:CF4"/>
    <mergeCell ref="CG3:CG4"/>
    <mergeCell ref="CH3:CM3"/>
    <mergeCell ref="CN3:CN4"/>
    <mergeCell ref="CO3:CO4"/>
    <mergeCell ref="AP3:AP4"/>
    <mergeCell ref="AQ3:AS3"/>
    <mergeCell ref="AT3:AT4"/>
    <mergeCell ref="AV3:AV4"/>
  </mergeCells>
  <printOptions/>
  <pageMargins left="0.11811023622047245" right="0.11811023622047245" top="0.1968503937007874" bottom="0.1968503937007874" header="0.11811023622047245" footer="0.11811023622047245"/>
  <pageSetup fitToWidth="5" fitToHeight="1" horizontalDpi="600" verticalDpi="600" orientation="landscape" paperSize="9" scale="67" r:id="rId1"/>
  <colBreaks count="3" manualBreakCount="3">
    <brk id="28" max="20" man="1"/>
    <brk id="52" max="20" man="1"/>
    <brk id="73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CF65"/>
  <sheetViews>
    <sheetView view="pageBreakPreview" zoomScale="70" zoomScaleSheetLayoutView="70" zoomScalePageLayoutView="0" workbookViewId="0" topLeftCell="A1">
      <selection activeCell="BU34" sqref="BU34"/>
    </sheetView>
  </sheetViews>
  <sheetFormatPr defaultColWidth="9.00390625" defaultRowHeight="12.75"/>
  <cols>
    <col min="1" max="1" width="0.5" style="6" customWidth="1"/>
    <col min="2" max="2" width="14.375" style="6" hidden="1" customWidth="1"/>
    <col min="3" max="3" width="9.50390625" style="6" hidden="1" customWidth="1"/>
    <col min="4" max="4" width="14.625" style="6" hidden="1" customWidth="1"/>
    <col min="5" max="5" width="10.50390625" style="6" hidden="1" customWidth="1"/>
    <col min="6" max="6" width="11.375" style="6" hidden="1" customWidth="1"/>
    <col min="7" max="7" width="12.625" style="6" hidden="1" customWidth="1"/>
    <col min="8" max="8" width="12.50390625" style="6" hidden="1" customWidth="1"/>
    <col min="9" max="9" width="13.375" style="6" hidden="1" customWidth="1"/>
    <col min="10" max="10" width="10.875" style="6" hidden="1" customWidth="1"/>
    <col min="11" max="11" width="5.50390625" style="6" hidden="1" customWidth="1"/>
    <col min="12" max="12" width="14.375" style="6" hidden="1" customWidth="1"/>
    <col min="13" max="13" width="15.625" style="6" hidden="1" customWidth="1"/>
    <col min="14" max="14" width="0.2421875" style="6" customWidth="1"/>
    <col min="15" max="15" width="7.00390625" style="6" hidden="1" customWidth="1"/>
    <col min="16" max="16" width="27.50390625" style="6" customWidth="1"/>
    <col min="17" max="17" width="12.50390625" style="6" customWidth="1"/>
    <col min="18" max="18" width="0.5" style="6" hidden="1" customWidth="1"/>
    <col min="19" max="19" width="8.75390625" style="6" hidden="1" customWidth="1"/>
    <col min="20" max="20" width="11.50390625" style="6" hidden="1" customWidth="1"/>
    <col min="21" max="21" width="1.4921875" style="6" hidden="1" customWidth="1"/>
    <col min="22" max="22" width="12.125" style="6" hidden="1" customWidth="1"/>
    <col min="23" max="23" width="9.50390625" style="6" hidden="1" customWidth="1"/>
    <col min="24" max="24" width="10.625" style="6" hidden="1" customWidth="1"/>
    <col min="25" max="25" width="12.375" style="6" hidden="1" customWidth="1"/>
    <col min="26" max="26" width="11.50390625" style="6" hidden="1" customWidth="1"/>
    <col min="27" max="27" width="5.00390625" style="6" hidden="1" customWidth="1"/>
    <col min="28" max="28" width="13.50390625" style="6" hidden="1" customWidth="1"/>
    <col min="29" max="29" width="11.875" style="6" hidden="1" customWidth="1"/>
    <col min="30" max="30" width="18.75390625" style="6" hidden="1" customWidth="1"/>
    <col min="31" max="31" width="13.125" style="6" hidden="1" customWidth="1"/>
    <col min="32" max="32" width="1.4921875" style="6" hidden="1" customWidth="1"/>
    <col min="33" max="33" width="13.25390625" style="6" hidden="1" customWidth="1"/>
    <col min="34" max="34" width="11.50390625" style="6" hidden="1" customWidth="1"/>
    <col min="35" max="36" width="11.125" style="6" hidden="1" customWidth="1"/>
    <col min="37" max="37" width="8.875" style="6" hidden="1" customWidth="1"/>
    <col min="38" max="38" width="13.00390625" style="6" hidden="1" customWidth="1"/>
    <col min="39" max="39" width="19.375" style="6" hidden="1" customWidth="1"/>
    <col min="40" max="40" width="12.25390625" style="6" hidden="1" customWidth="1"/>
    <col min="41" max="41" width="6.50390625" style="6" hidden="1" customWidth="1"/>
    <col min="42" max="44" width="11.00390625" style="6" hidden="1" customWidth="1"/>
    <col min="45" max="45" width="10.50390625" style="6" hidden="1" customWidth="1"/>
    <col min="46" max="46" width="8.875" style="6" hidden="1" customWidth="1"/>
    <col min="47" max="47" width="12.50390625" style="6" hidden="1" customWidth="1"/>
    <col min="48" max="48" width="10.375" style="6" hidden="1" customWidth="1"/>
    <col min="49" max="49" width="11.75390625" style="6" hidden="1" customWidth="1"/>
    <col min="50" max="50" width="6.625" style="6" hidden="1" customWidth="1"/>
    <col min="51" max="51" width="11.875" style="6" hidden="1" customWidth="1"/>
    <col min="52" max="52" width="12.125" style="6" hidden="1" customWidth="1"/>
    <col min="53" max="53" width="12.25390625" style="6" hidden="1" customWidth="1"/>
    <col min="54" max="54" width="0.12890625" style="6" hidden="1" customWidth="1"/>
    <col min="55" max="55" width="14.75390625" style="6" hidden="1" customWidth="1"/>
    <col min="56" max="56" width="21.00390625" style="6" hidden="1" customWidth="1"/>
    <col min="57" max="57" width="23.875" style="6" hidden="1" customWidth="1"/>
    <col min="58" max="58" width="19.75390625" style="6" hidden="1" customWidth="1"/>
    <col min="59" max="59" width="4.625" style="6" hidden="1" customWidth="1"/>
    <col min="60" max="60" width="18.125" style="6" hidden="1" customWidth="1"/>
    <col min="61" max="61" width="11.50390625" style="6" hidden="1" customWidth="1"/>
    <col min="62" max="62" width="14.625" style="6" hidden="1" customWidth="1"/>
    <col min="63" max="63" width="14.375" style="6" hidden="1" customWidth="1"/>
    <col min="64" max="64" width="14.875" style="6" hidden="1" customWidth="1"/>
    <col min="65" max="65" width="14.75390625" style="6" hidden="1" customWidth="1"/>
    <col min="66" max="66" width="15.125" style="6" customWidth="1"/>
    <col min="67" max="67" width="15.25390625" style="6" customWidth="1"/>
    <col min="68" max="68" width="17.375" style="6" customWidth="1"/>
    <col min="69" max="69" width="14.375" style="6" customWidth="1"/>
    <col min="70" max="70" width="14.75390625" style="6" customWidth="1"/>
    <col min="71" max="71" width="17.50390625" style="6" customWidth="1"/>
    <col min="72" max="72" width="14.375" style="6" customWidth="1"/>
    <col min="73" max="73" width="13.625" style="6" customWidth="1"/>
    <col min="74" max="74" width="13.125" style="6" customWidth="1"/>
    <col min="75" max="75" width="11.75390625" style="6" customWidth="1"/>
    <col min="76" max="76" width="19.25390625" style="6" customWidth="1"/>
    <col min="77" max="77" width="0.2421875" style="6" customWidth="1"/>
    <col min="78" max="78" width="16.25390625" style="6" hidden="1" customWidth="1"/>
    <col min="79" max="79" width="14.50390625" style="6" hidden="1" customWidth="1"/>
    <col min="80" max="82" width="8.875" style="6" hidden="1" customWidth="1"/>
    <col min="83" max="83" width="10.25390625" style="6" hidden="1" customWidth="1"/>
    <col min="84" max="16384" width="8.875" style="6" customWidth="1"/>
  </cols>
  <sheetData>
    <row r="1" ht="15">
      <c r="P1" s="6" t="s">
        <v>111</v>
      </c>
    </row>
    <row r="2" spans="1:79" ht="56.25" customHeight="1">
      <c r="A2" s="16" t="s">
        <v>54</v>
      </c>
      <c r="C2" s="17" t="s">
        <v>55</v>
      </c>
      <c r="D2" s="18" t="s">
        <v>56</v>
      </c>
      <c r="E2" s="18"/>
      <c r="P2" s="360" t="s">
        <v>110</v>
      </c>
      <c r="Q2" s="361" t="s">
        <v>118</v>
      </c>
      <c r="R2" s="280" t="s">
        <v>117</v>
      </c>
      <c r="S2" s="281"/>
      <c r="T2" s="281"/>
      <c r="U2" s="281"/>
      <c r="V2" s="281"/>
      <c r="W2" s="281"/>
      <c r="X2" s="281"/>
      <c r="Y2" s="281"/>
      <c r="Z2" s="281"/>
      <c r="AA2" s="281"/>
      <c r="AB2" s="282"/>
      <c r="AC2" s="274" t="s">
        <v>114</v>
      </c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346"/>
      <c r="BA2" s="347" t="s">
        <v>246</v>
      </c>
      <c r="BB2" s="15"/>
      <c r="BC2" s="280" t="s">
        <v>115</v>
      </c>
      <c r="BD2" s="281"/>
      <c r="BE2" s="281"/>
      <c r="BF2" s="282"/>
      <c r="BG2" s="264" t="s">
        <v>114</v>
      </c>
      <c r="BH2" s="264"/>
      <c r="BI2" s="264"/>
      <c r="BJ2" s="264"/>
      <c r="BK2" s="264"/>
      <c r="BL2" s="264"/>
      <c r="BM2" s="350" t="s">
        <v>57</v>
      </c>
      <c r="BN2" s="280" t="s">
        <v>58</v>
      </c>
      <c r="BO2" s="281"/>
      <c r="BP2" s="281"/>
      <c r="BQ2" s="282"/>
      <c r="BR2" s="264" t="s">
        <v>59</v>
      </c>
      <c r="BS2" s="264"/>
      <c r="BT2" s="264"/>
      <c r="BU2" s="264"/>
      <c r="BV2" s="264"/>
      <c r="BW2" s="264"/>
      <c r="BX2" s="352" t="s">
        <v>60</v>
      </c>
      <c r="BY2" s="355" t="s">
        <v>206</v>
      </c>
      <c r="BZ2" s="344" t="s">
        <v>73</v>
      </c>
      <c r="CA2" s="345"/>
    </row>
    <row r="3" spans="1:79" ht="109.5" customHeight="1">
      <c r="A3" s="16"/>
      <c r="C3" s="17"/>
      <c r="D3" s="18"/>
      <c r="E3" s="18"/>
      <c r="P3" s="360"/>
      <c r="Q3" s="362"/>
      <c r="R3" s="276" t="s">
        <v>119</v>
      </c>
      <c r="S3" s="277"/>
      <c r="T3" s="277"/>
      <c r="U3" s="278"/>
      <c r="V3" s="271" t="s">
        <v>61</v>
      </c>
      <c r="W3" s="272"/>
      <c r="X3" s="272"/>
      <c r="Y3" s="263" t="s">
        <v>62</v>
      </c>
      <c r="Z3" s="263"/>
      <c r="AA3" s="263"/>
      <c r="AB3" s="284" t="s">
        <v>116</v>
      </c>
      <c r="AC3" s="257" t="s">
        <v>63</v>
      </c>
      <c r="AD3" s="271" t="s">
        <v>64</v>
      </c>
      <c r="AE3" s="272"/>
      <c r="AF3" s="272"/>
      <c r="AG3" s="272"/>
      <c r="AH3" s="272"/>
      <c r="AI3" s="272"/>
      <c r="AJ3" s="272"/>
      <c r="AK3" s="273"/>
      <c r="AL3" s="271" t="s">
        <v>65</v>
      </c>
      <c r="AM3" s="272"/>
      <c r="AN3" s="272"/>
      <c r="AO3" s="273"/>
      <c r="AP3" s="257" t="s">
        <v>66</v>
      </c>
      <c r="AQ3" s="257" t="s">
        <v>67</v>
      </c>
      <c r="AR3" s="257" t="s">
        <v>68</v>
      </c>
      <c r="AS3" s="268" t="s">
        <v>69</v>
      </c>
      <c r="AT3" s="269"/>
      <c r="AU3" s="270"/>
      <c r="AV3" s="257" t="s">
        <v>70</v>
      </c>
      <c r="AW3" s="263" t="s">
        <v>71</v>
      </c>
      <c r="AX3" s="263"/>
      <c r="AY3" s="263"/>
      <c r="AZ3" s="265" t="s">
        <v>72</v>
      </c>
      <c r="BA3" s="348"/>
      <c r="BB3" s="19"/>
      <c r="BC3" s="267" t="s">
        <v>72</v>
      </c>
      <c r="BD3" s="271" t="s">
        <v>73</v>
      </c>
      <c r="BE3" s="272"/>
      <c r="BF3" s="273"/>
      <c r="BG3" s="358" t="s">
        <v>72</v>
      </c>
      <c r="BH3" s="271" t="s">
        <v>73</v>
      </c>
      <c r="BI3" s="272"/>
      <c r="BJ3" s="272"/>
      <c r="BK3" s="272"/>
      <c r="BL3" s="273"/>
      <c r="BM3" s="351"/>
      <c r="BN3" s="364" t="s">
        <v>72</v>
      </c>
      <c r="BO3" s="271" t="s">
        <v>73</v>
      </c>
      <c r="BP3" s="272"/>
      <c r="BQ3" s="273"/>
      <c r="BR3" s="358" t="s">
        <v>72</v>
      </c>
      <c r="BS3" s="271" t="s">
        <v>73</v>
      </c>
      <c r="BT3" s="272"/>
      <c r="BU3" s="272"/>
      <c r="BV3" s="272"/>
      <c r="BW3" s="273"/>
      <c r="BX3" s="353"/>
      <c r="BY3" s="356"/>
      <c r="BZ3" s="192" t="s">
        <v>112</v>
      </c>
      <c r="CA3" s="193" t="s">
        <v>113</v>
      </c>
    </row>
    <row r="4" spans="1:79" ht="188.25" customHeight="1">
      <c r="A4" s="21" t="s">
        <v>74</v>
      </c>
      <c r="B4" s="21">
        <v>211</v>
      </c>
      <c r="C4" s="21">
        <v>212</v>
      </c>
      <c r="D4" s="21">
        <v>213</v>
      </c>
      <c r="E4" s="21">
        <v>221</v>
      </c>
      <c r="F4" s="21">
        <v>222</v>
      </c>
      <c r="G4" s="21">
        <v>223</v>
      </c>
      <c r="H4" s="21">
        <v>225</v>
      </c>
      <c r="I4" s="21">
        <v>226</v>
      </c>
      <c r="J4" s="21">
        <v>290</v>
      </c>
      <c r="K4" s="21">
        <v>310</v>
      </c>
      <c r="L4" s="22">
        <v>340</v>
      </c>
      <c r="M4" s="23" t="s">
        <v>75</v>
      </c>
      <c r="N4" s="24" t="s">
        <v>76</v>
      </c>
      <c r="O4" s="79" t="s">
        <v>77</v>
      </c>
      <c r="P4" s="360"/>
      <c r="Q4" s="363"/>
      <c r="R4" s="26">
        <v>211</v>
      </c>
      <c r="S4" s="26">
        <v>212</v>
      </c>
      <c r="T4" s="27">
        <v>213</v>
      </c>
      <c r="U4" s="27" t="s">
        <v>78</v>
      </c>
      <c r="V4" s="28" t="s">
        <v>79</v>
      </c>
      <c r="W4" s="28" t="s">
        <v>80</v>
      </c>
      <c r="X4" s="29" t="s">
        <v>81</v>
      </c>
      <c r="Y4" s="19" t="s">
        <v>82</v>
      </c>
      <c r="Z4" s="19" t="s">
        <v>83</v>
      </c>
      <c r="AA4" s="19" t="s">
        <v>81</v>
      </c>
      <c r="AB4" s="285"/>
      <c r="AC4" s="259"/>
      <c r="AD4" s="19" t="s">
        <v>84</v>
      </c>
      <c r="AE4" s="19" t="s">
        <v>85</v>
      </c>
      <c r="AF4" s="19" t="s">
        <v>86</v>
      </c>
      <c r="AG4" s="28" t="s">
        <v>87</v>
      </c>
      <c r="AH4" s="19" t="s">
        <v>88</v>
      </c>
      <c r="AI4" s="19" t="s">
        <v>89</v>
      </c>
      <c r="AJ4" s="19" t="s">
        <v>90</v>
      </c>
      <c r="AK4" s="31" t="s">
        <v>81</v>
      </c>
      <c r="AL4" s="19" t="s">
        <v>91</v>
      </c>
      <c r="AM4" s="19" t="s">
        <v>92</v>
      </c>
      <c r="AN4" s="19" t="s">
        <v>93</v>
      </c>
      <c r="AO4" s="31" t="s">
        <v>81</v>
      </c>
      <c r="AP4" s="259"/>
      <c r="AQ4" s="259"/>
      <c r="AR4" s="259"/>
      <c r="AS4" s="19" t="s">
        <v>203</v>
      </c>
      <c r="AT4" s="19" t="s">
        <v>183</v>
      </c>
      <c r="AU4" s="33" t="s">
        <v>78</v>
      </c>
      <c r="AV4" s="259"/>
      <c r="AW4" s="131" t="s">
        <v>94</v>
      </c>
      <c r="AX4" s="131" t="s">
        <v>95</v>
      </c>
      <c r="AY4" s="34" t="s">
        <v>96</v>
      </c>
      <c r="AZ4" s="266"/>
      <c r="BA4" s="349"/>
      <c r="BB4" s="19" t="s">
        <v>97</v>
      </c>
      <c r="BC4" s="267"/>
      <c r="BD4" s="195" t="s">
        <v>98</v>
      </c>
      <c r="BE4" s="195" t="s">
        <v>61</v>
      </c>
      <c r="BF4" s="195" t="s">
        <v>62</v>
      </c>
      <c r="BG4" s="359"/>
      <c r="BH4" s="195" t="s">
        <v>99</v>
      </c>
      <c r="BI4" s="19" t="s">
        <v>63</v>
      </c>
      <c r="BJ4" s="19" t="s">
        <v>64</v>
      </c>
      <c r="BK4" s="19" t="s">
        <v>65</v>
      </c>
      <c r="BL4" s="19" t="s">
        <v>71</v>
      </c>
      <c r="BM4" s="144" t="s">
        <v>100</v>
      </c>
      <c r="BN4" s="365"/>
      <c r="BO4" s="195" t="s">
        <v>98</v>
      </c>
      <c r="BP4" s="195" t="s">
        <v>61</v>
      </c>
      <c r="BQ4" s="195" t="s">
        <v>62</v>
      </c>
      <c r="BR4" s="359"/>
      <c r="BS4" s="195" t="s">
        <v>99</v>
      </c>
      <c r="BT4" s="19" t="s">
        <v>63</v>
      </c>
      <c r="BU4" s="19" t="s">
        <v>64</v>
      </c>
      <c r="BV4" s="19" t="s">
        <v>65</v>
      </c>
      <c r="BW4" s="19" t="s">
        <v>71</v>
      </c>
      <c r="BX4" s="354"/>
      <c r="BY4" s="357"/>
      <c r="BZ4" s="194"/>
      <c r="CA4" s="34"/>
    </row>
    <row r="5" spans="1:79" ht="15">
      <c r="A5" s="15" t="s">
        <v>101</v>
      </c>
      <c r="B5" s="36">
        <v>530.2</v>
      </c>
      <c r="C5" s="36">
        <v>0.6</v>
      </c>
      <c r="D5" s="36">
        <v>160.1</v>
      </c>
      <c r="E5" s="36">
        <v>0</v>
      </c>
      <c r="F5" s="36">
        <v>5</v>
      </c>
      <c r="G5" s="37">
        <v>660.3</v>
      </c>
      <c r="H5" s="37">
        <v>301.9</v>
      </c>
      <c r="I5" s="36">
        <v>86</v>
      </c>
      <c r="J5" s="37">
        <v>54.9</v>
      </c>
      <c r="K5" s="38">
        <v>0</v>
      </c>
      <c r="L5" s="36">
        <v>797.7</v>
      </c>
      <c r="M5" s="39">
        <f>SUM(B5:L5)</f>
        <v>2596.7</v>
      </c>
      <c r="N5" s="40">
        <f>M38</f>
        <v>662.5</v>
      </c>
      <c r="O5" s="41">
        <f>M5+N5</f>
        <v>3259.2</v>
      </c>
      <c r="P5" s="15" t="s">
        <v>45</v>
      </c>
      <c r="Q5" s="13">
        <v>75</v>
      </c>
      <c r="R5" s="42">
        <v>120.8</v>
      </c>
      <c r="S5" s="42">
        <f>C5</f>
        <v>0.6</v>
      </c>
      <c r="T5" s="42">
        <f aca="true" t="shared" si="0" ref="T5:T29">R5*30.2/100</f>
        <v>36.4816</v>
      </c>
      <c r="U5" s="43">
        <f>R5+T5+S5</f>
        <v>157.8816</v>
      </c>
      <c r="V5" s="44">
        <f>764.7+566.2</f>
        <v>1330.9</v>
      </c>
      <c r="W5" s="44">
        <v>0</v>
      </c>
      <c r="X5" s="45">
        <f>V5+W5</f>
        <v>1330.9</v>
      </c>
      <c r="Y5" s="46">
        <v>0</v>
      </c>
      <c r="Z5" s="46">
        <v>14.8</v>
      </c>
      <c r="AA5" s="47">
        <f aca="true" t="shared" si="1" ref="AA5:AA29">Y5+Z5</f>
        <v>14.8</v>
      </c>
      <c r="AB5" s="48">
        <f>U5+X5+AA5</f>
        <v>1503.5816</v>
      </c>
      <c r="AC5" s="46">
        <f aca="true" t="shared" si="2" ref="AC5:AC29">G5</f>
        <v>660.3</v>
      </c>
      <c r="AD5" s="46">
        <v>0</v>
      </c>
      <c r="AE5" s="46">
        <v>0</v>
      </c>
      <c r="AF5" s="46">
        <f>2+16.6+12+1.8+1.7</f>
        <v>34.1</v>
      </c>
      <c r="AG5" s="44">
        <v>302.5</v>
      </c>
      <c r="AH5" s="46">
        <v>0</v>
      </c>
      <c r="AI5" s="46">
        <f>3.3+1.4</f>
        <v>4.699999999999999</v>
      </c>
      <c r="AJ5" s="46">
        <v>14</v>
      </c>
      <c r="AK5" s="47">
        <f>SUM(AD5:AJ5)</f>
        <v>355.3</v>
      </c>
      <c r="AL5" s="46">
        <v>0</v>
      </c>
      <c r="AM5" s="46">
        <v>0</v>
      </c>
      <c r="AN5" s="46">
        <v>0</v>
      </c>
      <c r="AO5" s="47">
        <f>AL5+AM5+AN5</f>
        <v>0</v>
      </c>
      <c r="AP5" s="46">
        <f aca="true" t="shared" si="3" ref="AP5:AP29">F5</f>
        <v>5</v>
      </c>
      <c r="AQ5" s="46">
        <v>0</v>
      </c>
      <c r="AR5" s="46">
        <v>0</v>
      </c>
      <c r="AS5" s="46">
        <f aca="true" t="shared" si="4" ref="AS5:AS29">B5-R5</f>
        <v>409.40000000000003</v>
      </c>
      <c r="AT5" s="46">
        <f aca="true" t="shared" si="5" ref="AT5:AT29">D5-T5</f>
        <v>123.6184</v>
      </c>
      <c r="AU5" s="47">
        <f>AS5+AT5</f>
        <v>533.0184</v>
      </c>
      <c r="AV5" s="46">
        <f aca="true" t="shared" si="6" ref="AV5:AV29">Z5</f>
        <v>14.8</v>
      </c>
      <c r="AW5" s="46">
        <f aca="true" t="shared" si="7" ref="AW5:AW29">J5</f>
        <v>54.9</v>
      </c>
      <c r="AX5" s="46">
        <v>36</v>
      </c>
      <c r="AY5" s="46">
        <f>90.2+6.1</f>
        <v>96.3</v>
      </c>
      <c r="AZ5" s="49">
        <f aca="true" t="shared" si="8" ref="AZ5:AZ28">AC5+AK5+AO5+AP5+AU5+AV5+AW5+AX5+AY5+AR5+AQ5</f>
        <v>1755.6183999999998</v>
      </c>
      <c r="BA5" s="50">
        <f aca="true" t="shared" si="9" ref="BA5:BA29">AB5+AZ5</f>
        <v>3259.2</v>
      </c>
      <c r="BB5" s="46">
        <f aca="true" t="shared" si="10" ref="BB5:BB29">O5-BA5</f>
        <v>0</v>
      </c>
      <c r="BC5" s="196">
        <f>BD5+BE5+BF5</f>
        <v>1503.5816</v>
      </c>
      <c r="BD5" s="58">
        <f aca="true" t="shared" si="11" ref="BD5:BD29">U5</f>
        <v>157.8816</v>
      </c>
      <c r="BE5" s="58">
        <f aca="true" t="shared" si="12" ref="BE5:BE29">X5</f>
        <v>1330.9</v>
      </c>
      <c r="BF5" s="58">
        <f aca="true" t="shared" si="13" ref="BF5:BF29">AA5</f>
        <v>14.8</v>
      </c>
      <c r="BG5" s="197">
        <f aca="true" t="shared" si="14" ref="BG5:BG29">AZ5</f>
        <v>1755.6183999999998</v>
      </c>
      <c r="BH5" s="58">
        <f aca="true" t="shared" si="15" ref="BH5:BH29">AU5</f>
        <v>533.0184</v>
      </c>
      <c r="BI5" s="58">
        <f aca="true" t="shared" si="16" ref="BI5:BI29">AC5</f>
        <v>660.3</v>
      </c>
      <c r="BJ5" s="58">
        <f aca="true" t="shared" si="17" ref="BJ5:BJ29">AK5</f>
        <v>355.3</v>
      </c>
      <c r="BK5" s="58">
        <f aca="true" t="shared" si="18" ref="BK5:BK29">AO5</f>
        <v>0</v>
      </c>
      <c r="BL5" s="58">
        <f>BG5-BH5-BI5-BJ5-BK5</f>
        <v>206.99999999999994</v>
      </c>
      <c r="BM5" s="198">
        <f aca="true" t="shared" si="19" ref="BM5:BM22">Q5</f>
        <v>75</v>
      </c>
      <c r="BN5" s="203">
        <f>BO5+BP5+BQ5</f>
        <v>20.047754666666666</v>
      </c>
      <c r="BO5" s="204">
        <f>BD5/BM5</f>
        <v>2.105088</v>
      </c>
      <c r="BP5" s="204">
        <f>BE5/BM5</f>
        <v>17.745333333333335</v>
      </c>
      <c r="BQ5" s="204">
        <f>BF5/BM5</f>
        <v>0.19733333333333333</v>
      </c>
      <c r="BR5" s="207">
        <f>BS5+BT5+BU5+BV5+BW5</f>
        <v>23.408245333333333</v>
      </c>
      <c r="BS5" s="204">
        <f>BH5/BM5</f>
        <v>7.106912</v>
      </c>
      <c r="BT5" s="204">
        <f>BI5/BM5</f>
        <v>8.804</v>
      </c>
      <c r="BU5" s="204">
        <f>BJ5/BM5</f>
        <v>4.737333333333334</v>
      </c>
      <c r="BV5" s="204">
        <f>BK5/BM5</f>
        <v>0</v>
      </c>
      <c r="BW5" s="204">
        <f>BL5/BM5</f>
        <v>2.7599999999999993</v>
      </c>
      <c r="BX5" s="247">
        <f aca="true" t="shared" si="20" ref="BX5:BX31">BN5+BR5</f>
        <v>43.456</v>
      </c>
      <c r="BY5" s="56">
        <f aca="true" t="shared" si="21" ref="BY5:BY31">BX5*BM5</f>
        <v>3259.2000000000003</v>
      </c>
      <c r="BZ5" s="42">
        <f aca="true" t="shared" si="22" ref="BZ5:BZ29">N5</f>
        <v>662.5</v>
      </c>
      <c r="CA5" s="57">
        <f aca="true" t="shared" si="23" ref="CA5:CA26">BY5-BZ5</f>
        <v>2596.7000000000003</v>
      </c>
    </row>
    <row r="6" spans="1:79" ht="15">
      <c r="A6" s="15" t="s">
        <v>3</v>
      </c>
      <c r="B6" s="58">
        <v>519.8</v>
      </c>
      <c r="C6" s="58">
        <v>0.6</v>
      </c>
      <c r="D6" s="58">
        <v>157</v>
      </c>
      <c r="E6" s="58">
        <v>0</v>
      </c>
      <c r="F6" s="58">
        <v>5</v>
      </c>
      <c r="G6" s="59">
        <v>781.8</v>
      </c>
      <c r="H6" s="58">
        <v>156.4</v>
      </c>
      <c r="I6" s="58">
        <v>100.9</v>
      </c>
      <c r="J6" s="59">
        <v>47.8</v>
      </c>
      <c r="K6" s="42">
        <v>0</v>
      </c>
      <c r="L6" s="58">
        <v>928.1</v>
      </c>
      <c r="M6" s="39">
        <f aca="true" t="shared" si="24" ref="M6:M29">SUM(B6:L6)</f>
        <v>2697.4</v>
      </c>
      <c r="N6" s="40">
        <f aca="true" t="shared" si="25" ref="N6:N29">M39</f>
        <v>786</v>
      </c>
      <c r="O6" s="41">
        <f aca="true" t="shared" si="26" ref="O6:O29">M6+N6</f>
        <v>3483.4</v>
      </c>
      <c r="P6" s="15" t="s">
        <v>44</v>
      </c>
      <c r="Q6" s="13">
        <v>83</v>
      </c>
      <c r="R6" s="42">
        <v>118.8</v>
      </c>
      <c r="S6" s="42">
        <f aca="true" t="shared" si="27" ref="S6:S29">C6</f>
        <v>0.6</v>
      </c>
      <c r="T6" s="42">
        <f t="shared" si="0"/>
        <v>35.8776</v>
      </c>
      <c r="U6" s="43">
        <f aca="true" t="shared" si="28" ref="U6:U29">R6+T6+S6</f>
        <v>155.27759999999998</v>
      </c>
      <c r="V6" s="44">
        <f>801+671.8</f>
        <v>1472.8</v>
      </c>
      <c r="W6" s="44">
        <v>94.1</v>
      </c>
      <c r="X6" s="45">
        <f aca="true" t="shared" si="29" ref="X6:X29">V6+W6</f>
        <v>1566.8999999999999</v>
      </c>
      <c r="Y6" s="46">
        <v>0</v>
      </c>
      <c r="Z6" s="46">
        <v>18.5</v>
      </c>
      <c r="AA6" s="47">
        <f t="shared" si="1"/>
        <v>18.5</v>
      </c>
      <c r="AB6" s="48">
        <f aca="true" t="shared" si="30" ref="AB6:AB29">U6+X6+AA6</f>
        <v>1740.6775999999998</v>
      </c>
      <c r="AC6" s="46">
        <f t="shared" si="2"/>
        <v>781.8</v>
      </c>
      <c r="AD6" s="46">
        <v>0</v>
      </c>
      <c r="AE6" s="46">
        <v>0</v>
      </c>
      <c r="AF6" s="46">
        <f>16.7+12+4.7+23.4+0.8+1.7</f>
        <v>59.3</v>
      </c>
      <c r="AG6" s="44">
        <v>125.1</v>
      </c>
      <c r="AH6" s="46">
        <v>0</v>
      </c>
      <c r="AI6" s="46">
        <f>6.5+1.3</f>
        <v>7.8</v>
      </c>
      <c r="AJ6" s="46">
        <v>25.1</v>
      </c>
      <c r="AK6" s="47">
        <f aca="true" t="shared" si="31" ref="AK6:AK29">SUM(AD6:AJ6)</f>
        <v>217.29999999999998</v>
      </c>
      <c r="AL6" s="46">
        <v>0</v>
      </c>
      <c r="AM6" s="46">
        <v>0</v>
      </c>
      <c r="AN6" s="46">
        <v>0</v>
      </c>
      <c r="AO6" s="47">
        <f aca="true" t="shared" si="32" ref="AO6:AO29">AL6+AM6+AN6</f>
        <v>0</v>
      </c>
      <c r="AP6" s="46">
        <f t="shared" si="3"/>
        <v>5</v>
      </c>
      <c r="AQ6" s="46">
        <v>0</v>
      </c>
      <c r="AR6" s="46">
        <v>0</v>
      </c>
      <c r="AS6" s="46">
        <f t="shared" si="4"/>
        <v>400.99999999999994</v>
      </c>
      <c r="AT6" s="46">
        <f t="shared" si="5"/>
        <v>121.1224</v>
      </c>
      <c r="AU6" s="47">
        <f aca="true" t="shared" si="33" ref="AU6:AU29">AS6+AT6</f>
        <v>522.1224</v>
      </c>
      <c r="AV6" s="46">
        <f t="shared" si="6"/>
        <v>18.5</v>
      </c>
      <c r="AW6" s="46">
        <f t="shared" si="7"/>
        <v>47.8</v>
      </c>
      <c r="AX6" s="46">
        <v>36</v>
      </c>
      <c r="AY6" s="46">
        <f>107.3+6.9</f>
        <v>114.2</v>
      </c>
      <c r="AZ6" s="49">
        <f t="shared" si="8"/>
        <v>1742.7223999999999</v>
      </c>
      <c r="BA6" s="50">
        <f t="shared" si="9"/>
        <v>3483.3999999999996</v>
      </c>
      <c r="BB6" s="46">
        <f t="shared" si="10"/>
        <v>0</v>
      </c>
      <c r="BC6" s="196">
        <f aca="true" t="shared" si="34" ref="BC6:BC29">BD6+BE6+BF6</f>
        <v>1740.6775999999998</v>
      </c>
      <c r="BD6" s="58">
        <f t="shared" si="11"/>
        <v>155.27759999999998</v>
      </c>
      <c r="BE6" s="58">
        <f t="shared" si="12"/>
        <v>1566.8999999999999</v>
      </c>
      <c r="BF6" s="58">
        <f t="shared" si="13"/>
        <v>18.5</v>
      </c>
      <c r="BG6" s="197">
        <f t="shared" si="14"/>
        <v>1742.7223999999999</v>
      </c>
      <c r="BH6" s="58">
        <f t="shared" si="15"/>
        <v>522.1224</v>
      </c>
      <c r="BI6" s="58">
        <f t="shared" si="16"/>
        <v>781.8</v>
      </c>
      <c r="BJ6" s="58">
        <f t="shared" si="17"/>
        <v>217.29999999999998</v>
      </c>
      <c r="BK6" s="58">
        <f t="shared" si="18"/>
        <v>0</v>
      </c>
      <c r="BL6" s="58">
        <f aca="true" t="shared" si="35" ref="BL6:BL29">BG6-BH6-BI6-BJ6-BK6</f>
        <v>221.49999999999997</v>
      </c>
      <c r="BM6" s="198">
        <f t="shared" si="19"/>
        <v>83</v>
      </c>
      <c r="BN6" s="203">
        <f aca="true" t="shared" si="36" ref="BN6:BN31">BO6+BP6+BQ6</f>
        <v>20.97201927710843</v>
      </c>
      <c r="BO6" s="204">
        <f aca="true" t="shared" si="37" ref="BO6:BO31">BD6/BM6</f>
        <v>1.870814457831325</v>
      </c>
      <c r="BP6" s="204">
        <f aca="true" t="shared" si="38" ref="BP6:BP31">BE6/BM6</f>
        <v>18.878313253012045</v>
      </c>
      <c r="BQ6" s="204">
        <f aca="true" t="shared" si="39" ref="BQ6:BQ31">BF6/BM6</f>
        <v>0.22289156626506024</v>
      </c>
      <c r="BR6" s="207">
        <f aca="true" t="shared" si="40" ref="BR6:BR31">BS6+BT6+BU6+BV6+BW6</f>
        <v>20.996655421686743</v>
      </c>
      <c r="BS6" s="204">
        <f aca="true" t="shared" si="41" ref="BS6:BS31">BH6/BM6</f>
        <v>6.290631325301204</v>
      </c>
      <c r="BT6" s="204">
        <f aca="true" t="shared" si="42" ref="BT6:BT31">BI6/BM6</f>
        <v>9.419277108433734</v>
      </c>
      <c r="BU6" s="204">
        <f aca="true" t="shared" si="43" ref="BU6:BU31">BJ6/BM6</f>
        <v>2.6180722891566264</v>
      </c>
      <c r="BV6" s="204">
        <f aca="true" t="shared" si="44" ref="BV6:BV31">BK6/BM6</f>
        <v>0</v>
      </c>
      <c r="BW6" s="204">
        <f aca="true" t="shared" si="45" ref="BW6:BW31">BL6/BM6</f>
        <v>2.6686746987951806</v>
      </c>
      <c r="BX6" s="247">
        <f t="shared" si="20"/>
        <v>41.96867469879517</v>
      </c>
      <c r="BY6" s="56">
        <f t="shared" si="21"/>
        <v>3483.399999999999</v>
      </c>
      <c r="BZ6" s="42">
        <f t="shared" si="22"/>
        <v>786</v>
      </c>
      <c r="CA6" s="57">
        <f t="shared" si="23"/>
        <v>2697.399999999999</v>
      </c>
    </row>
    <row r="7" spans="1:79" ht="15">
      <c r="A7" s="15" t="s">
        <v>4</v>
      </c>
      <c r="B7" s="58">
        <v>697.6</v>
      </c>
      <c r="C7" s="58">
        <v>0.6</v>
      </c>
      <c r="D7" s="58">
        <v>210.7</v>
      </c>
      <c r="E7" s="58">
        <v>0</v>
      </c>
      <c r="F7" s="58">
        <v>5</v>
      </c>
      <c r="G7" s="59">
        <v>1559.9</v>
      </c>
      <c r="H7" s="58">
        <v>207.6</v>
      </c>
      <c r="I7" s="58">
        <v>116.3</v>
      </c>
      <c r="J7" s="59">
        <v>156.3</v>
      </c>
      <c r="K7" s="42">
        <v>0</v>
      </c>
      <c r="L7" s="58">
        <v>1576.8</v>
      </c>
      <c r="M7" s="39">
        <f t="shared" si="24"/>
        <v>4530.8</v>
      </c>
      <c r="N7" s="40">
        <f t="shared" si="25"/>
        <v>1430.2</v>
      </c>
      <c r="O7" s="41">
        <f t="shared" si="26"/>
        <v>5961</v>
      </c>
      <c r="P7" s="15" t="s">
        <v>43</v>
      </c>
      <c r="Q7" s="13">
        <v>149</v>
      </c>
      <c r="R7" s="42">
        <v>180.6</v>
      </c>
      <c r="S7" s="42">
        <f t="shared" si="27"/>
        <v>0.6</v>
      </c>
      <c r="T7" s="42">
        <f t="shared" si="0"/>
        <v>54.541199999999996</v>
      </c>
      <c r="U7" s="43">
        <f t="shared" si="28"/>
        <v>235.7412</v>
      </c>
      <c r="V7" s="44">
        <f>1499.8+1222.4</f>
        <v>2722.2</v>
      </c>
      <c r="W7" s="44">
        <v>0</v>
      </c>
      <c r="X7" s="45">
        <f t="shared" si="29"/>
        <v>2722.2</v>
      </c>
      <c r="Y7" s="46">
        <v>0</v>
      </c>
      <c r="Z7" s="46">
        <v>25.3</v>
      </c>
      <c r="AA7" s="47">
        <f t="shared" si="1"/>
        <v>25.3</v>
      </c>
      <c r="AB7" s="48">
        <f t="shared" si="30"/>
        <v>2983.2412</v>
      </c>
      <c r="AC7" s="46">
        <f t="shared" si="2"/>
        <v>1559.9</v>
      </c>
      <c r="AD7" s="46">
        <v>0</v>
      </c>
      <c r="AE7" s="46">
        <v>0</v>
      </c>
      <c r="AF7" s="46">
        <f>18.3+12+5+59+1.8+1.7</f>
        <v>97.8</v>
      </c>
      <c r="AG7" s="44">
        <v>172.9</v>
      </c>
      <c r="AH7" s="46">
        <v>0</v>
      </c>
      <c r="AI7" s="46">
        <f>13.8+1.9</f>
        <v>15.700000000000001</v>
      </c>
      <c r="AJ7" s="46">
        <v>27.9</v>
      </c>
      <c r="AK7" s="47">
        <f t="shared" si="31"/>
        <v>314.29999999999995</v>
      </c>
      <c r="AL7" s="46">
        <v>0</v>
      </c>
      <c r="AM7" s="46">
        <v>0</v>
      </c>
      <c r="AN7" s="46">
        <v>0</v>
      </c>
      <c r="AO7" s="47">
        <f t="shared" si="32"/>
        <v>0</v>
      </c>
      <c r="AP7" s="46">
        <f t="shared" si="3"/>
        <v>5</v>
      </c>
      <c r="AQ7" s="46">
        <v>0</v>
      </c>
      <c r="AR7" s="46">
        <v>0</v>
      </c>
      <c r="AS7" s="46">
        <f t="shared" si="4"/>
        <v>517</v>
      </c>
      <c r="AT7" s="46">
        <f t="shared" si="5"/>
        <v>156.15879999999999</v>
      </c>
      <c r="AU7" s="47">
        <f t="shared" si="33"/>
        <v>673.1587999999999</v>
      </c>
      <c r="AV7" s="46">
        <f t="shared" si="6"/>
        <v>25.3</v>
      </c>
      <c r="AW7" s="46">
        <f t="shared" si="7"/>
        <v>156.3</v>
      </c>
      <c r="AX7" s="46">
        <v>36</v>
      </c>
      <c r="AY7" s="46">
        <f>194.9+12.9</f>
        <v>207.8</v>
      </c>
      <c r="AZ7" s="49">
        <f t="shared" si="8"/>
        <v>2977.7588000000005</v>
      </c>
      <c r="BA7" s="50">
        <f t="shared" si="9"/>
        <v>5961</v>
      </c>
      <c r="BB7" s="46">
        <f t="shared" si="10"/>
        <v>0</v>
      </c>
      <c r="BC7" s="196">
        <f t="shared" si="34"/>
        <v>2983.2412</v>
      </c>
      <c r="BD7" s="58">
        <f t="shared" si="11"/>
        <v>235.7412</v>
      </c>
      <c r="BE7" s="58">
        <f t="shared" si="12"/>
        <v>2722.2</v>
      </c>
      <c r="BF7" s="58">
        <f t="shared" si="13"/>
        <v>25.3</v>
      </c>
      <c r="BG7" s="197">
        <f t="shared" si="14"/>
        <v>2977.7588000000005</v>
      </c>
      <c r="BH7" s="58">
        <f t="shared" si="15"/>
        <v>673.1587999999999</v>
      </c>
      <c r="BI7" s="58">
        <f t="shared" si="16"/>
        <v>1559.9</v>
      </c>
      <c r="BJ7" s="58">
        <f t="shared" si="17"/>
        <v>314.29999999999995</v>
      </c>
      <c r="BK7" s="58">
        <f t="shared" si="18"/>
        <v>0</v>
      </c>
      <c r="BL7" s="58">
        <f t="shared" si="35"/>
        <v>430.4000000000003</v>
      </c>
      <c r="BM7" s="198">
        <f t="shared" si="19"/>
        <v>149</v>
      </c>
      <c r="BN7" s="203">
        <f t="shared" si="36"/>
        <v>20.021753020134227</v>
      </c>
      <c r="BO7" s="204">
        <f t="shared" si="37"/>
        <v>1.5821557046979866</v>
      </c>
      <c r="BP7" s="204">
        <f t="shared" si="38"/>
        <v>18.26979865771812</v>
      </c>
      <c r="BQ7" s="204">
        <f t="shared" si="39"/>
        <v>0.1697986577181208</v>
      </c>
      <c r="BR7" s="207">
        <f t="shared" si="40"/>
        <v>19.98495838926175</v>
      </c>
      <c r="BS7" s="204">
        <f t="shared" si="41"/>
        <v>4.517844295302013</v>
      </c>
      <c r="BT7" s="204">
        <f t="shared" si="42"/>
        <v>10.469127516778524</v>
      </c>
      <c r="BU7" s="204">
        <f t="shared" si="43"/>
        <v>2.109395973154362</v>
      </c>
      <c r="BV7" s="204">
        <f t="shared" si="44"/>
        <v>0</v>
      </c>
      <c r="BW7" s="204">
        <f t="shared" si="45"/>
        <v>2.888590604026848</v>
      </c>
      <c r="BX7" s="247">
        <f t="shared" si="20"/>
        <v>40.006711409395976</v>
      </c>
      <c r="BY7" s="56">
        <f t="shared" si="21"/>
        <v>5961</v>
      </c>
      <c r="BZ7" s="42">
        <f t="shared" si="22"/>
        <v>1430.2</v>
      </c>
      <c r="CA7" s="57">
        <f t="shared" si="23"/>
        <v>4530.8</v>
      </c>
    </row>
    <row r="8" spans="1:79" ht="15">
      <c r="A8" s="15" t="s">
        <v>5</v>
      </c>
      <c r="B8" s="58">
        <v>592.9</v>
      </c>
      <c r="C8" s="58">
        <v>0</v>
      </c>
      <c r="D8" s="58">
        <v>179</v>
      </c>
      <c r="E8" s="58">
        <v>0</v>
      </c>
      <c r="F8" s="58">
        <v>5</v>
      </c>
      <c r="G8" s="59">
        <v>844.6</v>
      </c>
      <c r="H8" s="58">
        <v>140.8</v>
      </c>
      <c r="I8" s="58">
        <v>95</v>
      </c>
      <c r="J8" s="59">
        <v>88.4</v>
      </c>
      <c r="K8" s="42">
        <v>0</v>
      </c>
      <c r="L8" s="58">
        <v>1067.8</v>
      </c>
      <c r="M8" s="39">
        <f t="shared" si="24"/>
        <v>3013.5</v>
      </c>
      <c r="N8" s="40">
        <f t="shared" si="25"/>
        <v>984.6</v>
      </c>
      <c r="O8" s="41">
        <f t="shared" si="26"/>
        <v>3998.1</v>
      </c>
      <c r="P8" s="15" t="s">
        <v>42</v>
      </c>
      <c r="Q8" s="13">
        <v>95</v>
      </c>
      <c r="R8" s="42">
        <v>146</v>
      </c>
      <c r="S8" s="42">
        <f t="shared" si="27"/>
        <v>0</v>
      </c>
      <c r="T8" s="42">
        <f t="shared" si="0"/>
        <v>44.092</v>
      </c>
      <c r="U8" s="43">
        <f t="shared" si="28"/>
        <v>190.09199999999998</v>
      </c>
      <c r="V8" s="44">
        <f>1023.8+841.5</f>
        <v>1865.3</v>
      </c>
      <c r="W8" s="44">
        <v>0</v>
      </c>
      <c r="X8" s="45">
        <f t="shared" si="29"/>
        <v>1865.3</v>
      </c>
      <c r="Y8" s="46">
        <v>0</v>
      </c>
      <c r="Z8" s="46">
        <v>17.9</v>
      </c>
      <c r="AA8" s="47">
        <f t="shared" si="1"/>
        <v>17.9</v>
      </c>
      <c r="AB8" s="48">
        <f t="shared" si="30"/>
        <v>2073.292</v>
      </c>
      <c r="AC8" s="46">
        <f t="shared" si="2"/>
        <v>844.6</v>
      </c>
      <c r="AD8" s="46">
        <v>0</v>
      </c>
      <c r="AE8" s="46">
        <v>0</v>
      </c>
      <c r="AF8" s="46">
        <f>13.8+12+5+0.8+1.7</f>
        <v>33.300000000000004</v>
      </c>
      <c r="AG8" s="44">
        <v>129.1</v>
      </c>
      <c r="AH8" s="46">
        <v>0</v>
      </c>
      <c r="AI8" s="46">
        <f>3.3+1.8</f>
        <v>5.1</v>
      </c>
      <c r="AJ8" s="46">
        <v>40.5</v>
      </c>
      <c r="AK8" s="47">
        <f t="shared" si="31"/>
        <v>208</v>
      </c>
      <c r="AL8" s="46">
        <v>0</v>
      </c>
      <c r="AM8" s="46">
        <v>0</v>
      </c>
      <c r="AN8" s="46">
        <v>0</v>
      </c>
      <c r="AO8" s="47">
        <f t="shared" si="32"/>
        <v>0</v>
      </c>
      <c r="AP8" s="46">
        <f t="shared" si="3"/>
        <v>5</v>
      </c>
      <c r="AQ8" s="46">
        <v>0</v>
      </c>
      <c r="AR8" s="46">
        <v>0</v>
      </c>
      <c r="AS8" s="46">
        <f t="shared" si="4"/>
        <v>446.9</v>
      </c>
      <c r="AT8" s="46">
        <f t="shared" si="5"/>
        <v>134.90800000000002</v>
      </c>
      <c r="AU8" s="47">
        <f t="shared" si="33"/>
        <v>581.808</v>
      </c>
      <c r="AV8" s="46">
        <f t="shared" si="6"/>
        <v>17.9</v>
      </c>
      <c r="AW8" s="46">
        <f t="shared" si="7"/>
        <v>88.4</v>
      </c>
      <c r="AX8" s="46">
        <v>36</v>
      </c>
      <c r="AY8" s="46">
        <f>134.2+8.9</f>
        <v>143.1</v>
      </c>
      <c r="AZ8" s="49">
        <f t="shared" si="8"/>
        <v>1924.808</v>
      </c>
      <c r="BA8" s="50">
        <f t="shared" si="9"/>
        <v>3998.1</v>
      </c>
      <c r="BB8" s="46">
        <f t="shared" si="10"/>
        <v>0</v>
      </c>
      <c r="BC8" s="196">
        <f t="shared" si="34"/>
        <v>2073.292</v>
      </c>
      <c r="BD8" s="58">
        <f t="shared" si="11"/>
        <v>190.09199999999998</v>
      </c>
      <c r="BE8" s="58">
        <f t="shared" si="12"/>
        <v>1865.3</v>
      </c>
      <c r="BF8" s="58">
        <f t="shared" si="13"/>
        <v>17.9</v>
      </c>
      <c r="BG8" s="197">
        <f t="shared" si="14"/>
        <v>1924.808</v>
      </c>
      <c r="BH8" s="58">
        <f t="shared" si="15"/>
        <v>581.808</v>
      </c>
      <c r="BI8" s="58">
        <f t="shared" si="16"/>
        <v>844.6</v>
      </c>
      <c r="BJ8" s="58">
        <f t="shared" si="17"/>
        <v>208</v>
      </c>
      <c r="BK8" s="58">
        <f t="shared" si="18"/>
        <v>0</v>
      </c>
      <c r="BL8" s="58">
        <f t="shared" si="35"/>
        <v>290.4</v>
      </c>
      <c r="BM8" s="198">
        <f t="shared" si="19"/>
        <v>95</v>
      </c>
      <c r="BN8" s="203">
        <f t="shared" si="36"/>
        <v>21.824126315789474</v>
      </c>
      <c r="BO8" s="204">
        <f t="shared" si="37"/>
        <v>2.0009684210526313</v>
      </c>
      <c r="BP8" s="204">
        <f t="shared" si="38"/>
        <v>19.634736842105262</v>
      </c>
      <c r="BQ8" s="204">
        <f t="shared" si="39"/>
        <v>0.18842105263157893</v>
      </c>
      <c r="BR8" s="207">
        <f t="shared" si="40"/>
        <v>20.261136842105262</v>
      </c>
      <c r="BS8" s="204">
        <f t="shared" si="41"/>
        <v>6.1242947368421055</v>
      </c>
      <c r="BT8" s="204">
        <f t="shared" si="42"/>
        <v>8.890526315789474</v>
      </c>
      <c r="BU8" s="204">
        <f t="shared" si="43"/>
        <v>2.1894736842105265</v>
      </c>
      <c r="BV8" s="204">
        <f t="shared" si="44"/>
        <v>0</v>
      </c>
      <c r="BW8" s="204">
        <f t="shared" si="45"/>
        <v>3.056842105263158</v>
      </c>
      <c r="BX8" s="247">
        <f t="shared" si="20"/>
        <v>42.08526315789474</v>
      </c>
      <c r="BY8" s="56">
        <f t="shared" si="21"/>
        <v>3998.1</v>
      </c>
      <c r="BZ8" s="42">
        <f t="shared" si="22"/>
        <v>984.6</v>
      </c>
      <c r="CA8" s="57">
        <f t="shared" si="23"/>
        <v>3013.5</v>
      </c>
    </row>
    <row r="9" spans="1:79" ht="15">
      <c r="A9" s="15" t="s">
        <v>6</v>
      </c>
      <c r="B9" s="58">
        <v>718.1</v>
      </c>
      <c r="C9" s="58">
        <v>0</v>
      </c>
      <c r="D9" s="58">
        <v>216.9</v>
      </c>
      <c r="E9" s="58">
        <v>0</v>
      </c>
      <c r="F9" s="58">
        <v>8.5</v>
      </c>
      <c r="G9" s="59">
        <v>1475.3</v>
      </c>
      <c r="H9" s="58">
        <v>131.4</v>
      </c>
      <c r="I9" s="58">
        <v>118.1</v>
      </c>
      <c r="J9" s="59">
        <v>65.4</v>
      </c>
      <c r="K9" s="42">
        <v>0</v>
      </c>
      <c r="L9" s="58">
        <v>1675.7</v>
      </c>
      <c r="M9" s="39">
        <f t="shared" si="24"/>
        <v>4409.400000000001</v>
      </c>
      <c r="N9" s="40">
        <f t="shared" si="25"/>
        <v>1181.5</v>
      </c>
      <c r="O9" s="41">
        <f t="shared" si="26"/>
        <v>5590.900000000001</v>
      </c>
      <c r="P9" s="15" t="s">
        <v>41</v>
      </c>
      <c r="Q9" s="13">
        <v>147</v>
      </c>
      <c r="R9" s="42">
        <v>188.3</v>
      </c>
      <c r="S9" s="42">
        <f t="shared" si="27"/>
        <v>0</v>
      </c>
      <c r="T9" s="42">
        <f t="shared" si="0"/>
        <v>56.8666</v>
      </c>
      <c r="U9" s="43">
        <f t="shared" si="28"/>
        <v>245.16660000000002</v>
      </c>
      <c r="V9" s="44">
        <f>1598.7+1009.8</f>
        <v>2608.5</v>
      </c>
      <c r="W9" s="44">
        <v>0</v>
      </c>
      <c r="X9" s="45">
        <f t="shared" si="29"/>
        <v>2608.5</v>
      </c>
      <c r="Y9" s="46">
        <v>0</v>
      </c>
      <c r="Z9" s="46">
        <v>27.3</v>
      </c>
      <c r="AA9" s="47">
        <f t="shared" si="1"/>
        <v>27.3</v>
      </c>
      <c r="AB9" s="48">
        <f t="shared" si="30"/>
        <v>2880.9666</v>
      </c>
      <c r="AC9" s="46">
        <f t="shared" si="2"/>
        <v>1475.3</v>
      </c>
      <c r="AD9" s="46">
        <v>0</v>
      </c>
      <c r="AE9" s="46">
        <v>0</v>
      </c>
      <c r="AF9" s="46">
        <f>15.2+12+6.6+1.8+1.7</f>
        <v>37.3</v>
      </c>
      <c r="AG9" s="44">
        <v>201.1</v>
      </c>
      <c r="AH9" s="46">
        <v>0</v>
      </c>
      <c r="AI9" s="46">
        <f>5.2+2</f>
        <v>7.2</v>
      </c>
      <c r="AJ9" s="46">
        <v>26.3</v>
      </c>
      <c r="AK9" s="47">
        <f t="shared" si="31"/>
        <v>271.9</v>
      </c>
      <c r="AL9" s="46">
        <v>0</v>
      </c>
      <c r="AM9" s="46">
        <v>0</v>
      </c>
      <c r="AN9" s="46">
        <v>0</v>
      </c>
      <c r="AO9" s="47">
        <f t="shared" si="32"/>
        <v>0</v>
      </c>
      <c r="AP9" s="46">
        <f t="shared" si="3"/>
        <v>8.5</v>
      </c>
      <c r="AQ9" s="46">
        <v>0</v>
      </c>
      <c r="AR9" s="46">
        <v>0</v>
      </c>
      <c r="AS9" s="46">
        <f t="shared" si="4"/>
        <v>529.8</v>
      </c>
      <c r="AT9" s="46">
        <f t="shared" si="5"/>
        <v>160.0334</v>
      </c>
      <c r="AU9" s="47">
        <f t="shared" si="33"/>
        <v>689.8334</v>
      </c>
      <c r="AV9" s="46">
        <f t="shared" si="6"/>
        <v>27.3</v>
      </c>
      <c r="AW9" s="46">
        <f t="shared" si="7"/>
        <v>65.4</v>
      </c>
      <c r="AX9" s="46">
        <v>0</v>
      </c>
      <c r="AY9" s="46">
        <f>161.2+10.5</f>
        <v>171.7</v>
      </c>
      <c r="AZ9" s="49">
        <f t="shared" si="8"/>
        <v>2709.9334</v>
      </c>
      <c r="BA9" s="50">
        <f t="shared" si="9"/>
        <v>5590.9</v>
      </c>
      <c r="BB9" s="46">
        <f t="shared" si="10"/>
        <v>0</v>
      </c>
      <c r="BC9" s="196">
        <f t="shared" si="34"/>
        <v>2880.9666</v>
      </c>
      <c r="BD9" s="58">
        <f t="shared" si="11"/>
        <v>245.16660000000002</v>
      </c>
      <c r="BE9" s="58">
        <f t="shared" si="12"/>
        <v>2608.5</v>
      </c>
      <c r="BF9" s="58">
        <f t="shared" si="13"/>
        <v>27.3</v>
      </c>
      <c r="BG9" s="197">
        <f t="shared" si="14"/>
        <v>2709.9334</v>
      </c>
      <c r="BH9" s="58">
        <f t="shared" si="15"/>
        <v>689.8334</v>
      </c>
      <c r="BI9" s="58">
        <f t="shared" si="16"/>
        <v>1475.3</v>
      </c>
      <c r="BJ9" s="58">
        <f t="shared" si="17"/>
        <v>271.9</v>
      </c>
      <c r="BK9" s="58">
        <f t="shared" si="18"/>
        <v>0</v>
      </c>
      <c r="BL9" s="58">
        <f t="shared" si="35"/>
        <v>272.9</v>
      </c>
      <c r="BM9" s="198">
        <f t="shared" si="19"/>
        <v>147</v>
      </c>
      <c r="BN9" s="203">
        <f t="shared" si="36"/>
        <v>19.59841224489796</v>
      </c>
      <c r="BO9" s="204">
        <f t="shared" si="37"/>
        <v>1.6678000000000002</v>
      </c>
      <c r="BP9" s="204">
        <f t="shared" si="38"/>
        <v>17.744897959183675</v>
      </c>
      <c r="BQ9" s="204">
        <f t="shared" si="39"/>
        <v>0.18571428571428572</v>
      </c>
      <c r="BR9" s="207">
        <f t="shared" si="40"/>
        <v>18.434921088435374</v>
      </c>
      <c r="BS9" s="204">
        <f t="shared" si="41"/>
        <v>4.692744217687075</v>
      </c>
      <c r="BT9" s="204">
        <f t="shared" si="42"/>
        <v>10.036054421768707</v>
      </c>
      <c r="BU9" s="204">
        <f t="shared" si="43"/>
        <v>1.8496598639455781</v>
      </c>
      <c r="BV9" s="204">
        <f t="shared" si="44"/>
        <v>0</v>
      </c>
      <c r="BW9" s="204">
        <f t="shared" si="45"/>
        <v>1.8564625850340135</v>
      </c>
      <c r="BX9" s="247">
        <f t="shared" si="20"/>
        <v>38.03333333333333</v>
      </c>
      <c r="BY9" s="56">
        <f t="shared" si="21"/>
        <v>5590.9</v>
      </c>
      <c r="BZ9" s="42">
        <f t="shared" si="22"/>
        <v>1181.5</v>
      </c>
      <c r="CA9" s="57">
        <f t="shared" si="23"/>
        <v>4409.4</v>
      </c>
    </row>
    <row r="10" spans="1:79" ht="15">
      <c r="A10" s="25" t="s">
        <v>7</v>
      </c>
      <c r="B10" s="58">
        <v>627.2</v>
      </c>
      <c r="C10" s="58">
        <v>0</v>
      </c>
      <c r="D10" s="58">
        <v>189.4</v>
      </c>
      <c r="E10" s="58">
        <v>0</v>
      </c>
      <c r="F10" s="58">
        <v>10</v>
      </c>
      <c r="G10" s="59">
        <v>441.1</v>
      </c>
      <c r="H10" s="58">
        <v>119.1</v>
      </c>
      <c r="I10" s="58">
        <v>104.9</v>
      </c>
      <c r="J10" s="59">
        <v>18</v>
      </c>
      <c r="K10" s="42">
        <v>0</v>
      </c>
      <c r="L10" s="58">
        <v>747.1</v>
      </c>
      <c r="M10" s="39">
        <f t="shared" si="24"/>
        <v>2256.8</v>
      </c>
      <c r="N10" s="40">
        <f t="shared" si="25"/>
        <v>617.9</v>
      </c>
      <c r="O10" s="41">
        <f t="shared" si="26"/>
        <v>2874.7000000000003</v>
      </c>
      <c r="P10" s="25" t="s">
        <v>40</v>
      </c>
      <c r="Q10" s="13">
        <v>70</v>
      </c>
      <c r="R10" s="42">
        <v>118.8</v>
      </c>
      <c r="S10" s="42">
        <f t="shared" si="27"/>
        <v>0</v>
      </c>
      <c r="T10" s="42">
        <f t="shared" si="0"/>
        <v>35.8776</v>
      </c>
      <c r="U10" s="43">
        <f t="shared" si="28"/>
        <v>154.67759999999998</v>
      </c>
      <c r="V10" s="44">
        <f>714.1+528.1</f>
        <v>1242.2</v>
      </c>
      <c r="W10" s="44">
        <v>0</v>
      </c>
      <c r="X10" s="45">
        <f t="shared" si="29"/>
        <v>1242.2</v>
      </c>
      <c r="Y10" s="46">
        <v>0</v>
      </c>
      <c r="Z10" s="46">
        <v>14.9</v>
      </c>
      <c r="AA10" s="47">
        <f t="shared" si="1"/>
        <v>14.9</v>
      </c>
      <c r="AB10" s="48">
        <f t="shared" si="30"/>
        <v>1411.7776000000001</v>
      </c>
      <c r="AC10" s="46">
        <f t="shared" si="2"/>
        <v>441.1</v>
      </c>
      <c r="AD10" s="46">
        <v>0</v>
      </c>
      <c r="AE10" s="46">
        <v>0</v>
      </c>
      <c r="AF10" s="46">
        <f>13.8+12+4+21.1+0.8+3.4+17</f>
        <v>72.1</v>
      </c>
      <c r="AG10" s="44">
        <v>105</v>
      </c>
      <c r="AH10" s="46">
        <v>0</v>
      </c>
      <c r="AI10" s="46">
        <f>3.3+1.8</f>
        <v>5.1</v>
      </c>
      <c r="AJ10" s="46">
        <v>9</v>
      </c>
      <c r="AK10" s="47">
        <f t="shared" si="31"/>
        <v>191.2</v>
      </c>
      <c r="AL10" s="46">
        <v>0</v>
      </c>
      <c r="AM10" s="46">
        <v>0</v>
      </c>
      <c r="AN10" s="46">
        <v>0</v>
      </c>
      <c r="AO10" s="47">
        <f t="shared" si="32"/>
        <v>0</v>
      </c>
      <c r="AP10" s="46">
        <f t="shared" si="3"/>
        <v>10</v>
      </c>
      <c r="AQ10" s="46">
        <v>0</v>
      </c>
      <c r="AR10" s="46">
        <v>0</v>
      </c>
      <c r="AS10" s="46">
        <f t="shared" si="4"/>
        <v>508.40000000000003</v>
      </c>
      <c r="AT10" s="46">
        <f t="shared" si="5"/>
        <v>153.5224</v>
      </c>
      <c r="AU10" s="47">
        <f t="shared" si="33"/>
        <v>661.9224</v>
      </c>
      <c r="AV10" s="46">
        <f t="shared" si="6"/>
        <v>14.9</v>
      </c>
      <c r="AW10" s="46">
        <f t="shared" si="7"/>
        <v>18</v>
      </c>
      <c r="AX10" s="46">
        <v>36</v>
      </c>
      <c r="AY10" s="46">
        <f>84+5.8</f>
        <v>89.8</v>
      </c>
      <c r="AZ10" s="49">
        <f t="shared" si="8"/>
        <v>1462.9224000000002</v>
      </c>
      <c r="BA10" s="50">
        <f t="shared" si="9"/>
        <v>2874.7000000000003</v>
      </c>
      <c r="BB10" s="46">
        <f t="shared" si="10"/>
        <v>0</v>
      </c>
      <c r="BC10" s="196">
        <f t="shared" si="34"/>
        <v>1411.7776000000001</v>
      </c>
      <c r="BD10" s="58">
        <f t="shared" si="11"/>
        <v>154.67759999999998</v>
      </c>
      <c r="BE10" s="58">
        <f t="shared" si="12"/>
        <v>1242.2</v>
      </c>
      <c r="BF10" s="58">
        <f t="shared" si="13"/>
        <v>14.9</v>
      </c>
      <c r="BG10" s="197">
        <f t="shared" si="14"/>
        <v>1462.9224000000002</v>
      </c>
      <c r="BH10" s="58">
        <f t="shared" si="15"/>
        <v>661.9224</v>
      </c>
      <c r="BI10" s="58">
        <f t="shared" si="16"/>
        <v>441.1</v>
      </c>
      <c r="BJ10" s="58">
        <f t="shared" si="17"/>
        <v>191.2</v>
      </c>
      <c r="BK10" s="58">
        <f t="shared" si="18"/>
        <v>0</v>
      </c>
      <c r="BL10" s="58">
        <f t="shared" si="35"/>
        <v>168.7000000000001</v>
      </c>
      <c r="BM10" s="198">
        <f t="shared" si="19"/>
        <v>70</v>
      </c>
      <c r="BN10" s="203">
        <f t="shared" si="36"/>
        <v>20.168251428571427</v>
      </c>
      <c r="BO10" s="204">
        <f t="shared" si="37"/>
        <v>2.2096799999999996</v>
      </c>
      <c r="BP10" s="204">
        <f t="shared" si="38"/>
        <v>17.745714285714286</v>
      </c>
      <c r="BQ10" s="204">
        <f t="shared" si="39"/>
        <v>0.21285714285714286</v>
      </c>
      <c r="BR10" s="207">
        <f t="shared" si="40"/>
        <v>20.898891428571428</v>
      </c>
      <c r="BS10" s="204">
        <f t="shared" si="41"/>
        <v>9.456034285714287</v>
      </c>
      <c r="BT10" s="204">
        <f t="shared" si="42"/>
        <v>6.301428571428572</v>
      </c>
      <c r="BU10" s="204">
        <f t="shared" si="43"/>
        <v>2.7314285714285713</v>
      </c>
      <c r="BV10" s="204">
        <f t="shared" si="44"/>
        <v>0</v>
      </c>
      <c r="BW10" s="204">
        <f t="shared" si="45"/>
        <v>2.4100000000000015</v>
      </c>
      <c r="BX10" s="208">
        <f t="shared" si="20"/>
        <v>41.067142857142855</v>
      </c>
      <c r="BY10" s="56">
        <f t="shared" si="21"/>
        <v>2874.7</v>
      </c>
      <c r="BZ10" s="42">
        <f t="shared" si="22"/>
        <v>617.9</v>
      </c>
      <c r="CA10" s="57">
        <f t="shared" si="23"/>
        <v>2256.7999999999997</v>
      </c>
    </row>
    <row r="11" spans="1:79" ht="15">
      <c r="A11" s="15" t="s">
        <v>8</v>
      </c>
      <c r="B11" s="58">
        <v>523.9</v>
      </c>
      <c r="C11" s="58">
        <v>0</v>
      </c>
      <c r="D11" s="58">
        <v>158.2</v>
      </c>
      <c r="E11" s="58">
        <v>0</v>
      </c>
      <c r="F11" s="58">
        <v>5</v>
      </c>
      <c r="G11" s="59">
        <v>1033.8</v>
      </c>
      <c r="H11" s="58">
        <v>360.5</v>
      </c>
      <c r="I11" s="58">
        <v>59.2</v>
      </c>
      <c r="J11" s="59">
        <v>9.8</v>
      </c>
      <c r="K11" s="42">
        <v>0</v>
      </c>
      <c r="L11" s="58">
        <v>1185.4</v>
      </c>
      <c r="M11" s="39">
        <f t="shared" si="24"/>
        <v>3335.7999999999997</v>
      </c>
      <c r="N11" s="40">
        <f t="shared" si="25"/>
        <v>936.4</v>
      </c>
      <c r="O11" s="41">
        <f t="shared" si="26"/>
        <v>4272.2</v>
      </c>
      <c r="P11" s="15" t="s">
        <v>39</v>
      </c>
      <c r="Q11" s="13">
        <v>109</v>
      </c>
      <c r="R11" s="42">
        <v>96.8</v>
      </c>
      <c r="S11" s="42">
        <f t="shared" si="27"/>
        <v>0</v>
      </c>
      <c r="T11" s="42">
        <f t="shared" si="0"/>
        <v>29.233599999999996</v>
      </c>
      <c r="U11" s="43">
        <f t="shared" si="28"/>
        <v>126.03359999999999</v>
      </c>
      <c r="V11" s="60">
        <f>1130.4+800.4</f>
        <v>1930.8000000000002</v>
      </c>
      <c r="W11" s="44">
        <v>0</v>
      </c>
      <c r="X11" s="45">
        <f t="shared" si="29"/>
        <v>1930.8000000000002</v>
      </c>
      <c r="Y11" s="46">
        <v>0</v>
      </c>
      <c r="Z11" s="46">
        <v>18.1</v>
      </c>
      <c r="AA11" s="47">
        <f t="shared" si="1"/>
        <v>18.1</v>
      </c>
      <c r="AB11" s="48">
        <f t="shared" si="30"/>
        <v>2074.9336000000003</v>
      </c>
      <c r="AC11" s="46">
        <f t="shared" si="2"/>
        <v>1033.8</v>
      </c>
      <c r="AD11" s="46">
        <v>0</v>
      </c>
      <c r="AE11" s="46">
        <v>0</v>
      </c>
      <c r="AF11" s="46">
        <f>15.2+12+5.8+1.8+1.7</f>
        <v>36.5</v>
      </c>
      <c r="AG11" s="44">
        <v>360.7</v>
      </c>
      <c r="AH11" s="46">
        <v>0</v>
      </c>
      <c r="AI11" s="46">
        <f>5.2+2.8</f>
        <v>8</v>
      </c>
      <c r="AJ11" s="46">
        <v>9.3</v>
      </c>
      <c r="AK11" s="47">
        <f t="shared" si="31"/>
        <v>414.5</v>
      </c>
      <c r="AL11" s="46">
        <v>0</v>
      </c>
      <c r="AM11" s="46">
        <v>0</v>
      </c>
      <c r="AN11" s="46">
        <v>0</v>
      </c>
      <c r="AO11" s="47">
        <f t="shared" si="32"/>
        <v>0</v>
      </c>
      <c r="AP11" s="46">
        <f t="shared" si="3"/>
        <v>5</v>
      </c>
      <c r="AQ11" s="46">
        <v>0</v>
      </c>
      <c r="AR11" s="46">
        <v>0</v>
      </c>
      <c r="AS11" s="46">
        <f t="shared" si="4"/>
        <v>427.09999999999997</v>
      </c>
      <c r="AT11" s="46">
        <f t="shared" si="5"/>
        <v>128.9664</v>
      </c>
      <c r="AU11" s="47">
        <f t="shared" si="33"/>
        <v>556.0663999999999</v>
      </c>
      <c r="AV11" s="46">
        <f t="shared" si="6"/>
        <v>18.1</v>
      </c>
      <c r="AW11" s="46">
        <f t="shared" si="7"/>
        <v>9.8</v>
      </c>
      <c r="AX11" s="46">
        <v>24</v>
      </c>
      <c r="AY11" s="46">
        <f>127+9</f>
        <v>136</v>
      </c>
      <c r="AZ11" s="49">
        <f t="shared" si="8"/>
        <v>2197.2663999999995</v>
      </c>
      <c r="BA11" s="50">
        <f t="shared" si="9"/>
        <v>4272.2</v>
      </c>
      <c r="BB11" s="46">
        <f t="shared" si="10"/>
        <v>0</v>
      </c>
      <c r="BC11" s="196">
        <f t="shared" si="34"/>
        <v>2074.9336000000003</v>
      </c>
      <c r="BD11" s="58">
        <f t="shared" si="11"/>
        <v>126.03359999999999</v>
      </c>
      <c r="BE11" s="58">
        <f t="shared" si="12"/>
        <v>1930.8000000000002</v>
      </c>
      <c r="BF11" s="58">
        <f t="shared" si="13"/>
        <v>18.1</v>
      </c>
      <c r="BG11" s="197">
        <f t="shared" si="14"/>
        <v>2197.2663999999995</v>
      </c>
      <c r="BH11" s="58">
        <f t="shared" si="15"/>
        <v>556.0663999999999</v>
      </c>
      <c r="BI11" s="58">
        <f t="shared" si="16"/>
        <v>1033.8</v>
      </c>
      <c r="BJ11" s="58">
        <f t="shared" si="17"/>
        <v>414.5</v>
      </c>
      <c r="BK11" s="58">
        <f t="shared" si="18"/>
        <v>0</v>
      </c>
      <c r="BL11" s="58">
        <f t="shared" si="35"/>
        <v>192.89999999999964</v>
      </c>
      <c r="BM11" s="198">
        <f t="shared" si="19"/>
        <v>109</v>
      </c>
      <c r="BN11" s="203">
        <f t="shared" si="36"/>
        <v>19.036088073394495</v>
      </c>
      <c r="BO11" s="204">
        <f t="shared" si="37"/>
        <v>1.1562715596330275</v>
      </c>
      <c r="BP11" s="204">
        <f t="shared" si="38"/>
        <v>17.71376146788991</v>
      </c>
      <c r="BQ11" s="204">
        <f t="shared" si="39"/>
        <v>0.16605504587155964</v>
      </c>
      <c r="BR11" s="207">
        <f t="shared" si="40"/>
        <v>20.15840733944954</v>
      </c>
      <c r="BS11" s="204">
        <f t="shared" si="41"/>
        <v>5.101526605504587</v>
      </c>
      <c r="BT11" s="204">
        <f t="shared" si="42"/>
        <v>9.48440366972477</v>
      </c>
      <c r="BU11" s="204">
        <f t="shared" si="43"/>
        <v>3.802752293577982</v>
      </c>
      <c r="BV11" s="204">
        <f t="shared" si="44"/>
        <v>0</v>
      </c>
      <c r="BW11" s="204">
        <f t="shared" si="45"/>
        <v>1.7697247706421986</v>
      </c>
      <c r="BX11" s="208">
        <f t="shared" si="20"/>
        <v>39.194495412844034</v>
      </c>
      <c r="BY11" s="56">
        <f t="shared" si="21"/>
        <v>4272.2</v>
      </c>
      <c r="BZ11" s="42">
        <f t="shared" si="22"/>
        <v>936.4</v>
      </c>
      <c r="CA11" s="57">
        <f t="shared" si="23"/>
        <v>3335.7999999999997</v>
      </c>
    </row>
    <row r="12" spans="1:79" ht="15">
      <c r="A12" s="15" t="s">
        <v>102</v>
      </c>
      <c r="B12" s="58">
        <v>868.4</v>
      </c>
      <c r="C12" s="58">
        <v>0</v>
      </c>
      <c r="D12" s="58">
        <v>262.3</v>
      </c>
      <c r="E12" s="58">
        <v>0</v>
      </c>
      <c r="F12" s="58">
        <v>0</v>
      </c>
      <c r="G12" s="59">
        <v>397.9</v>
      </c>
      <c r="H12" s="58">
        <v>95.2</v>
      </c>
      <c r="I12" s="58">
        <v>31.8</v>
      </c>
      <c r="J12" s="59">
        <v>4.8</v>
      </c>
      <c r="K12" s="42">
        <v>0</v>
      </c>
      <c r="L12" s="58">
        <v>597.3</v>
      </c>
      <c r="M12" s="39">
        <f t="shared" si="24"/>
        <v>2257.7</v>
      </c>
      <c r="N12" s="40">
        <f t="shared" si="25"/>
        <v>485.2</v>
      </c>
      <c r="O12" s="41">
        <f t="shared" si="26"/>
        <v>2742.8999999999996</v>
      </c>
      <c r="P12" s="15" t="s">
        <v>38</v>
      </c>
      <c r="Q12" s="13">
        <v>32</v>
      </c>
      <c r="R12" s="42">
        <v>27.4</v>
      </c>
      <c r="S12" s="42">
        <f t="shared" si="27"/>
        <v>0</v>
      </c>
      <c r="T12" s="42">
        <f t="shared" si="0"/>
        <v>8.274799999999999</v>
      </c>
      <c r="U12" s="43">
        <f t="shared" si="28"/>
        <v>35.6748</v>
      </c>
      <c r="V12" s="60">
        <f>586.3+414.7</f>
        <v>1001</v>
      </c>
      <c r="W12" s="44">
        <v>0</v>
      </c>
      <c r="X12" s="45">
        <f t="shared" si="29"/>
        <v>1001</v>
      </c>
      <c r="Y12" s="46">
        <v>0</v>
      </c>
      <c r="Z12" s="46">
        <v>7.6</v>
      </c>
      <c r="AA12" s="47">
        <f t="shared" si="1"/>
        <v>7.6</v>
      </c>
      <c r="AB12" s="48">
        <f t="shared" si="30"/>
        <v>1044.2748</v>
      </c>
      <c r="AC12" s="46">
        <f t="shared" si="2"/>
        <v>397.9</v>
      </c>
      <c r="AD12" s="46">
        <v>0</v>
      </c>
      <c r="AE12" s="46">
        <v>0</v>
      </c>
      <c r="AF12" s="46">
        <f>13.8+12+1.7+29.3+1.2</f>
        <v>58</v>
      </c>
      <c r="AG12" s="44">
        <v>49.6</v>
      </c>
      <c r="AH12" s="46">
        <v>0</v>
      </c>
      <c r="AI12" s="46">
        <f>1.3+1.3</f>
        <v>2.6</v>
      </c>
      <c r="AJ12" s="46">
        <v>9</v>
      </c>
      <c r="AK12" s="47">
        <f t="shared" si="31"/>
        <v>119.19999999999999</v>
      </c>
      <c r="AL12" s="46">
        <v>0</v>
      </c>
      <c r="AM12" s="46">
        <v>0</v>
      </c>
      <c r="AN12" s="46">
        <v>0</v>
      </c>
      <c r="AO12" s="47">
        <f t="shared" si="32"/>
        <v>0</v>
      </c>
      <c r="AP12" s="46">
        <f t="shared" si="3"/>
        <v>0</v>
      </c>
      <c r="AQ12" s="46">
        <v>0</v>
      </c>
      <c r="AR12" s="46">
        <v>0</v>
      </c>
      <c r="AS12" s="46">
        <f t="shared" si="4"/>
        <v>841</v>
      </c>
      <c r="AT12" s="46">
        <f t="shared" si="5"/>
        <v>254.0252</v>
      </c>
      <c r="AU12" s="47">
        <f t="shared" si="33"/>
        <v>1095.0252</v>
      </c>
      <c r="AV12" s="46">
        <f t="shared" si="6"/>
        <v>7.6</v>
      </c>
      <c r="AW12" s="46">
        <f t="shared" si="7"/>
        <v>4.8</v>
      </c>
      <c r="AX12" s="46">
        <v>3.6</v>
      </c>
      <c r="AY12" s="46">
        <f>65.9+4.6</f>
        <v>70.5</v>
      </c>
      <c r="AZ12" s="49">
        <f t="shared" si="8"/>
        <v>1698.6251999999997</v>
      </c>
      <c r="BA12" s="50">
        <f t="shared" si="9"/>
        <v>2742.8999999999996</v>
      </c>
      <c r="BB12" s="46">
        <f t="shared" si="10"/>
        <v>0</v>
      </c>
      <c r="BC12" s="196">
        <f t="shared" si="34"/>
        <v>1044.2748</v>
      </c>
      <c r="BD12" s="58">
        <f t="shared" si="11"/>
        <v>35.6748</v>
      </c>
      <c r="BE12" s="58">
        <f t="shared" si="12"/>
        <v>1001</v>
      </c>
      <c r="BF12" s="58">
        <f t="shared" si="13"/>
        <v>7.6</v>
      </c>
      <c r="BG12" s="197">
        <f t="shared" si="14"/>
        <v>1698.6251999999997</v>
      </c>
      <c r="BH12" s="58">
        <f t="shared" si="15"/>
        <v>1095.0252</v>
      </c>
      <c r="BI12" s="58">
        <f t="shared" si="16"/>
        <v>397.9</v>
      </c>
      <c r="BJ12" s="58">
        <f t="shared" si="17"/>
        <v>119.19999999999999</v>
      </c>
      <c r="BK12" s="58">
        <f t="shared" si="18"/>
        <v>0</v>
      </c>
      <c r="BL12" s="58">
        <f t="shared" si="35"/>
        <v>86.49999999999972</v>
      </c>
      <c r="BM12" s="198">
        <f t="shared" si="19"/>
        <v>32</v>
      </c>
      <c r="BN12" s="203">
        <f t="shared" si="36"/>
        <v>32.6335875</v>
      </c>
      <c r="BO12" s="204">
        <f t="shared" si="37"/>
        <v>1.1148375</v>
      </c>
      <c r="BP12" s="204">
        <f t="shared" si="38"/>
        <v>31.28125</v>
      </c>
      <c r="BQ12" s="204">
        <f t="shared" si="39"/>
        <v>0.2375</v>
      </c>
      <c r="BR12" s="207">
        <f t="shared" si="40"/>
        <v>53.0820375</v>
      </c>
      <c r="BS12" s="204">
        <f t="shared" si="41"/>
        <v>34.2195375</v>
      </c>
      <c r="BT12" s="204">
        <f t="shared" si="42"/>
        <v>12.434375</v>
      </c>
      <c r="BU12" s="204">
        <f t="shared" si="43"/>
        <v>3.7249999999999996</v>
      </c>
      <c r="BV12" s="204">
        <f t="shared" si="44"/>
        <v>0</v>
      </c>
      <c r="BW12" s="204">
        <f t="shared" si="45"/>
        <v>2.703124999999991</v>
      </c>
      <c r="BX12" s="208">
        <f t="shared" si="20"/>
        <v>85.71562499999999</v>
      </c>
      <c r="BY12" s="56">
        <f t="shared" si="21"/>
        <v>2742.8999999999996</v>
      </c>
      <c r="BZ12" s="42">
        <f t="shared" si="22"/>
        <v>485.2</v>
      </c>
      <c r="CA12" s="57">
        <f t="shared" si="23"/>
        <v>2257.7</v>
      </c>
    </row>
    <row r="13" spans="1:79" ht="15">
      <c r="A13" s="15" t="s">
        <v>9</v>
      </c>
      <c r="B13" s="58">
        <v>349.3</v>
      </c>
      <c r="C13" s="58">
        <v>0</v>
      </c>
      <c r="D13" s="58">
        <v>105.5</v>
      </c>
      <c r="E13" s="58">
        <v>0</v>
      </c>
      <c r="F13" s="58">
        <v>0</v>
      </c>
      <c r="G13" s="59">
        <v>142.9</v>
      </c>
      <c r="H13" s="59">
        <v>55.5</v>
      </c>
      <c r="I13" s="58">
        <v>29.4</v>
      </c>
      <c r="J13" s="59">
        <v>3.5</v>
      </c>
      <c r="K13" s="42">
        <v>0</v>
      </c>
      <c r="L13" s="58">
        <v>295.2</v>
      </c>
      <c r="M13" s="39">
        <f t="shared" si="24"/>
        <v>981.3</v>
      </c>
      <c r="N13" s="40">
        <f t="shared" si="25"/>
        <v>226.5</v>
      </c>
      <c r="O13" s="41">
        <f t="shared" si="26"/>
        <v>1207.8</v>
      </c>
      <c r="P13" s="15" t="s">
        <v>37</v>
      </c>
      <c r="Q13" s="13">
        <v>18</v>
      </c>
      <c r="R13" s="42">
        <v>27.4</v>
      </c>
      <c r="S13" s="42">
        <f t="shared" si="27"/>
        <v>0</v>
      </c>
      <c r="T13" s="42">
        <f t="shared" si="0"/>
        <v>8.274799999999999</v>
      </c>
      <c r="U13" s="43">
        <f t="shared" si="28"/>
        <v>35.6748</v>
      </c>
      <c r="V13" s="60">
        <f>263.8+193.6</f>
        <v>457.4</v>
      </c>
      <c r="W13" s="44">
        <v>20.4</v>
      </c>
      <c r="X13" s="45">
        <f t="shared" si="29"/>
        <v>477.79999999999995</v>
      </c>
      <c r="Y13" s="46">
        <v>0</v>
      </c>
      <c r="Z13" s="46">
        <v>6.5</v>
      </c>
      <c r="AA13" s="47">
        <f t="shared" si="1"/>
        <v>6.5</v>
      </c>
      <c r="AB13" s="48">
        <f t="shared" si="30"/>
        <v>519.9748</v>
      </c>
      <c r="AC13" s="46">
        <f t="shared" si="2"/>
        <v>142.9</v>
      </c>
      <c r="AD13" s="46">
        <v>0</v>
      </c>
      <c r="AE13" s="46">
        <v>0</v>
      </c>
      <c r="AF13" s="46">
        <f>4.1+12+2+10.6+0.8</f>
        <v>29.500000000000004</v>
      </c>
      <c r="AG13" s="44">
        <v>47.9</v>
      </c>
      <c r="AH13" s="46">
        <v>0</v>
      </c>
      <c r="AI13" s="46">
        <f>0.7+1.2</f>
        <v>1.9</v>
      </c>
      <c r="AJ13" s="46">
        <v>0</v>
      </c>
      <c r="AK13" s="47">
        <f t="shared" si="31"/>
        <v>79.30000000000001</v>
      </c>
      <c r="AL13" s="46">
        <v>0</v>
      </c>
      <c r="AM13" s="46">
        <v>0</v>
      </c>
      <c r="AN13" s="46">
        <v>0</v>
      </c>
      <c r="AO13" s="47">
        <f t="shared" si="32"/>
        <v>0</v>
      </c>
      <c r="AP13" s="46">
        <f t="shared" si="3"/>
        <v>0</v>
      </c>
      <c r="AQ13" s="46">
        <v>0</v>
      </c>
      <c r="AR13" s="46">
        <v>0</v>
      </c>
      <c r="AS13" s="46">
        <f t="shared" si="4"/>
        <v>321.90000000000003</v>
      </c>
      <c r="AT13" s="46">
        <f t="shared" si="5"/>
        <v>97.2252</v>
      </c>
      <c r="AU13" s="47">
        <f t="shared" si="33"/>
        <v>419.12520000000006</v>
      </c>
      <c r="AV13" s="46">
        <f t="shared" si="6"/>
        <v>6.5</v>
      </c>
      <c r="AW13" s="46">
        <f t="shared" si="7"/>
        <v>3.5</v>
      </c>
      <c r="AX13" s="46">
        <v>3.6</v>
      </c>
      <c r="AY13" s="46">
        <f>30.7+2.2</f>
        <v>32.9</v>
      </c>
      <c r="AZ13" s="49">
        <f t="shared" si="8"/>
        <v>687.8252000000001</v>
      </c>
      <c r="BA13" s="50">
        <f t="shared" si="9"/>
        <v>1207.8000000000002</v>
      </c>
      <c r="BB13" s="46">
        <f t="shared" si="10"/>
        <v>0</v>
      </c>
      <c r="BC13" s="196">
        <f t="shared" si="34"/>
        <v>519.9748</v>
      </c>
      <c r="BD13" s="58">
        <f t="shared" si="11"/>
        <v>35.6748</v>
      </c>
      <c r="BE13" s="58">
        <f t="shared" si="12"/>
        <v>477.79999999999995</v>
      </c>
      <c r="BF13" s="58">
        <f t="shared" si="13"/>
        <v>6.5</v>
      </c>
      <c r="BG13" s="197">
        <f t="shared" si="14"/>
        <v>687.8252000000001</v>
      </c>
      <c r="BH13" s="58">
        <f t="shared" si="15"/>
        <v>419.12520000000006</v>
      </c>
      <c r="BI13" s="58">
        <f t="shared" si="16"/>
        <v>142.9</v>
      </c>
      <c r="BJ13" s="58">
        <f t="shared" si="17"/>
        <v>79.30000000000001</v>
      </c>
      <c r="BK13" s="58">
        <f t="shared" si="18"/>
        <v>0</v>
      </c>
      <c r="BL13" s="58">
        <f t="shared" si="35"/>
        <v>46.50000000000003</v>
      </c>
      <c r="BM13" s="198">
        <f t="shared" si="19"/>
        <v>18</v>
      </c>
      <c r="BN13" s="203">
        <f t="shared" si="36"/>
        <v>28.887488888888885</v>
      </c>
      <c r="BO13" s="204">
        <f t="shared" si="37"/>
        <v>1.981933333333333</v>
      </c>
      <c r="BP13" s="204">
        <f t="shared" si="38"/>
        <v>26.54444444444444</v>
      </c>
      <c r="BQ13" s="204">
        <f t="shared" si="39"/>
        <v>0.3611111111111111</v>
      </c>
      <c r="BR13" s="207">
        <f t="shared" si="40"/>
        <v>38.21251111111112</v>
      </c>
      <c r="BS13" s="204">
        <f t="shared" si="41"/>
        <v>23.284733333333335</v>
      </c>
      <c r="BT13" s="204">
        <f t="shared" si="42"/>
        <v>7.938888888888889</v>
      </c>
      <c r="BU13" s="204">
        <f t="shared" si="43"/>
        <v>4.405555555555556</v>
      </c>
      <c r="BV13" s="204">
        <f t="shared" si="44"/>
        <v>0</v>
      </c>
      <c r="BW13" s="204">
        <f t="shared" si="45"/>
        <v>2.583333333333335</v>
      </c>
      <c r="BX13" s="208">
        <f t="shared" si="20"/>
        <v>67.10000000000001</v>
      </c>
      <c r="BY13" s="56">
        <f t="shared" si="21"/>
        <v>1207.8000000000002</v>
      </c>
      <c r="BZ13" s="42">
        <f t="shared" si="22"/>
        <v>226.5</v>
      </c>
      <c r="CA13" s="57">
        <f t="shared" si="23"/>
        <v>981.3000000000002</v>
      </c>
    </row>
    <row r="14" spans="1:79" ht="15">
      <c r="A14" s="15" t="s">
        <v>10</v>
      </c>
      <c r="B14" s="58">
        <v>415.7</v>
      </c>
      <c r="C14" s="58">
        <v>0</v>
      </c>
      <c r="D14" s="58">
        <v>125.5</v>
      </c>
      <c r="E14" s="58">
        <v>0</v>
      </c>
      <c r="F14" s="58">
        <v>3.4</v>
      </c>
      <c r="G14" s="59">
        <v>259.3</v>
      </c>
      <c r="H14" s="58">
        <v>98.5</v>
      </c>
      <c r="I14" s="58">
        <v>33.4</v>
      </c>
      <c r="J14" s="59">
        <v>310</v>
      </c>
      <c r="K14" s="42">
        <v>0</v>
      </c>
      <c r="L14" s="58">
        <v>498.7</v>
      </c>
      <c r="M14" s="39">
        <f t="shared" si="24"/>
        <v>1744.5000000000002</v>
      </c>
      <c r="N14" s="40">
        <f t="shared" si="25"/>
        <v>361.4</v>
      </c>
      <c r="O14" s="41">
        <f t="shared" si="26"/>
        <v>2105.9</v>
      </c>
      <c r="P14" s="15" t="s">
        <v>36</v>
      </c>
      <c r="Q14" s="13">
        <v>43</v>
      </c>
      <c r="R14" s="42">
        <v>54.4</v>
      </c>
      <c r="S14" s="42">
        <f t="shared" si="27"/>
        <v>0</v>
      </c>
      <c r="T14" s="42">
        <f t="shared" si="0"/>
        <v>16.4288</v>
      </c>
      <c r="U14" s="43">
        <f t="shared" si="28"/>
        <v>70.8288</v>
      </c>
      <c r="V14" s="60">
        <f>476.7+308.9</f>
        <v>785.5999999999999</v>
      </c>
      <c r="W14" s="44">
        <v>0</v>
      </c>
      <c r="X14" s="45">
        <f t="shared" si="29"/>
        <v>785.5999999999999</v>
      </c>
      <c r="Y14" s="46">
        <v>0</v>
      </c>
      <c r="Z14" s="46">
        <v>7.1</v>
      </c>
      <c r="AA14" s="47">
        <f t="shared" si="1"/>
        <v>7.1</v>
      </c>
      <c r="AB14" s="48">
        <f t="shared" si="30"/>
        <v>863.5287999999999</v>
      </c>
      <c r="AC14" s="46">
        <f t="shared" si="2"/>
        <v>259.3</v>
      </c>
      <c r="AD14" s="46">
        <v>0</v>
      </c>
      <c r="AE14" s="46">
        <v>0</v>
      </c>
      <c r="AF14" s="46">
        <f>6.4+12+2.5+14.1+0.8</f>
        <v>35.8</v>
      </c>
      <c r="AG14" s="44">
        <v>69.3</v>
      </c>
      <c r="AH14" s="46">
        <v>0</v>
      </c>
      <c r="AI14" s="46">
        <f>0.6+1</f>
        <v>1.6</v>
      </c>
      <c r="AJ14" s="46">
        <v>9</v>
      </c>
      <c r="AK14" s="47">
        <f t="shared" si="31"/>
        <v>115.69999999999999</v>
      </c>
      <c r="AL14" s="46">
        <v>0</v>
      </c>
      <c r="AM14" s="46">
        <v>0</v>
      </c>
      <c r="AN14" s="46">
        <v>0</v>
      </c>
      <c r="AO14" s="47">
        <f t="shared" si="32"/>
        <v>0</v>
      </c>
      <c r="AP14" s="46">
        <f t="shared" si="3"/>
        <v>3.4</v>
      </c>
      <c r="AQ14" s="46">
        <v>0</v>
      </c>
      <c r="AR14" s="46">
        <v>0</v>
      </c>
      <c r="AS14" s="46">
        <f t="shared" si="4"/>
        <v>361.3</v>
      </c>
      <c r="AT14" s="46">
        <f t="shared" si="5"/>
        <v>109.0712</v>
      </c>
      <c r="AU14" s="47">
        <f t="shared" si="33"/>
        <v>470.37120000000004</v>
      </c>
      <c r="AV14" s="46">
        <f t="shared" si="6"/>
        <v>7.1</v>
      </c>
      <c r="AW14" s="46">
        <f t="shared" si="7"/>
        <v>310</v>
      </c>
      <c r="AX14" s="46">
        <v>24</v>
      </c>
      <c r="AY14" s="46">
        <f>48.9+3.6</f>
        <v>52.5</v>
      </c>
      <c r="AZ14" s="49">
        <f t="shared" si="8"/>
        <v>1242.3712</v>
      </c>
      <c r="BA14" s="50">
        <f t="shared" si="9"/>
        <v>2105.9</v>
      </c>
      <c r="BB14" s="46">
        <f t="shared" si="10"/>
        <v>0</v>
      </c>
      <c r="BC14" s="196">
        <f t="shared" si="34"/>
        <v>863.5287999999999</v>
      </c>
      <c r="BD14" s="58">
        <f t="shared" si="11"/>
        <v>70.8288</v>
      </c>
      <c r="BE14" s="58">
        <f t="shared" si="12"/>
        <v>785.5999999999999</v>
      </c>
      <c r="BF14" s="58">
        <f t="shared" si="13"/>
        <v>7.1</v>
      </c>
      <c r="BG14" s="197">
        <f t="shared" si="14"/>
        <v>1242.3712</v>
      </c>
      <c r="BH14" s="58">
        <f t="shared" si="15"/>
        <v>470.37120000000004</v>
      </c>
      <c r="BI14" s="58">
        <f t="shared" si="16"/>
        <v>259.3</v>
      </c>
      <c r="BJ14" s="58">
        <f t="shared" si="17"/>
        <v>115.69999999999999</v>
      </c>
      <c r="BK14" s="58">
        <f t="shared" si="18"/>
        <v>0</v>
      </c>
      <c r="BL14" s="58">
        <f t="shared" si="35"/>
        <v>397.00000000000006</v>
      </c>
      <c r="BM14" s="198">
        <f t="shared" si="19"/>
        <v>43</v>
      </c>
      <c r="BN14" s="203">
        <f t="shared" si="36"/>
        <v>20.082065116279068</v>
      </c>
      <c r="BO14" s="204">
        <f t="shared" si="37"/>
        <v>1.6471813953488372</v>
      </c>
      <c r="BP14" s="204">
        <f t="shared" si="38"/>
        <v>18.269767441860463</v>
      </c>
      <c r="BQ14" s="204">
        <f t="shared" si="39"/>
        <v>0.16511627906976745</v>
      </c>
      <c r="BR14" s="207">
        <f t="shared" si="40"/>
        <v>28.892353488372095</v>
      </c>
      <c r="BS14" s="204">
        <f t="shared" si="41"/>
        <v>10.938865116279072</v>
      </c>
      <c r="BT14" s="204">
        <f t="shared" si="42"/>
        <v>6.030232558139535</v>
      </c>
      <c r="BU14" s="204">
        <f t="shared" si="43"/>
        <v>2.690697674418604</v>
      </c>
      <c r="BV14" s="204">
        <f t="shared" si="44"/>
        <v>0</v>
      </c>
      <c r="BW14" s="204">
        <f t="shared" si="45"/>
        <v>9.232558139534886</v>
      </c>
      <c r="BX14" s="208">
        <f t="shared" si="20"/>
        <v>48.97441860465116</v>
      </c>
      <c r="BY14" s="56">
        <f t="shared" si="21"/>
        <v>2105.9</v>
      </c>
      <c r="BZ14" s="42">
        <f t="shared" si="22"/>
        <v>361.4</v>
      </c>
      <c r="CA14" s="57">
        <f t="shared" si="23"/>
        <v>1744.5</v>
      </c>
    </row>
    <row r="15" spans="1:79" ht="15">
      <c r="A15" s="15" t="s">
        <v>11</v>
      </c>
      <c r="B15" s="58">
        <v>349.3</v>
      </c>
      <c r="C15" s="58">
        <v>0</v>
      </c>
      <c r="D15" s="58">
        <v>105.5</v>
      </c>
      <c r="E15" s="58">
        <v>0</v>
      </c>
      <c r="F15" s="58">
        <v>0</v>
      </c>
      <c r="G15" s="59">
        <v>6.7</v>
      </c>
      <c r="H15" s="58">
        <v>15.4</v>
      </c>
      <c r="I15" s="58">
        <v>25.1</v>
      </c>
      <c r="J15" s="59">
        <v>3.8</v>
      </c>
      <c r="K15" s="42">
        <v>0</v>
      </c>
      <c r="L15" s="58">
        <v>293</v>
      </c>
      <c r="M15" s="39">
        <f t="shared" si="24"/>
        <v>798.8</v>
      </c>
      <c r="N15" s="40">
        <f t="shared" si="25"/>
        <v>217</v>
      </c>
      <c r="O15" s="41">
        <f t="shared" si="26"/>
        <v>1015.8</v>
      </c>
      <c r="P15" s="15" t="s">
        <v>35</v>
      </c>
      <c r="Q15" s="13">
        <v>21</v>
      </c>
      <c r="R15" s="42">
        <v>27.4</v>
      </c>
      <c r="S15" s="42">
        <f t="shared" si="27"/>
        <v>0</v>
      </c>
      <c r="T15" s="42">
        <f t="shared" si="0"/>
        <v>8.274799999999999</v>
      </c>
      <c r="U15" s="43">
        <f t="shared" si="28"/>
        <v>35.6748</v>
      </c>
      <c r="V15" s="60">
        <f>282+185.5</f>
        <v>467.5</v>
      </c>
      <c r="W15" s="44">
        <v>0</v>
      </c>
      <c r="X15" s="45">
        <f t="shared" si="29"/>
        <v>467.5</v>
      </c>
      <c r="Y15" s="46">
        <v>0</v>
      </c>
      <c r="Z15" s="46">
        <v>4.3</v>
      </c>
      <c r="AA15" s="47">
        <f t="shared" si="1"/>
        <v>4.3</v>
      </c>
      <c r="AB15" s="48">
        <f t="shared" si="30"/>
        <v>507.4748</v>
      </c>
      <c r="AC15" s="46">
        <f t="shared" si="2"/>
        <v>6.7</v>
      </c>
      <c r="AD15" s="46">
        <v>0</v>
      </c>
      <c r="AE15" s="46">
        <v>0</v>
      </c>
      <c r="AF15" s="46">
        <f>2.5+0.8</f>
        <v>3.3</v>
      </c>
      <c r="AG15" s="44">
        <v>36</v>
      </c>
      <c r="AH15" s="46">
        <v>0</v>
      </c>
      <c r="AI15" s="46">
        <v>0</v>
      </c>
      <c r="AJ15" s="46">
        <v>0</v>
      </c>
      <c r="AK15" s="47">
        <f t="shared" si="31"/>
        <v>39.3</v>
      </c>
      <c r="AL15" s="46">
        <v>0</v>
      </c>
      <c r="AM15" s="46">
        <v>0</v>
      </c>
      <c r="AN15" s="46">
        <v>0</v>
      </c>
      <c r="AO15" s="47">
        <f t="shared" si="32"/>
        <v>0</v>
      </c>
      <c r="AP15" s="46">
        <f t="shared" si="3"/>
        <v>0</v>
      </c>
      <c r="AQ15" s="46">
        <v>0</v>
      </c>
      <c r="AR15" s="46">
        <v>0</v>
      </c>
      <c r="AS15" s="46">
        <f t="shared" si="4"/>
        <v>321.90000000000003</v>
      </c>
      <c r="AT15" s="46">
        <f t="shared" si="5"/>
        <v>97.2252</v>
      </c>
      <c r="AU15" s="47">
        <f t="shared" si="33"/>
        <v>419.12520000000006</v>
      </c>
      <c r="AV15" s="46">
        <f t="shared" si="6"/>
        <v>4.3</v>
      </c>
      <c r="AW15" s="46">
        <f t="shared" si="7"/>
        <v>3.8</v>
      </c>
      <c r="AX15" s="46">
        <v>3.6</v>
      </c>
      <c r="AY15" s="46">
        <f>29.3+2.2</f>
        <v>31.5</v>
      </c>
      <c r="AZ15" s="49">
        <f t="shared" si="8"/>
        <v>508.3252000000001</v>
      </c>
      <c r="BA15" s="50">
        <f t="shared" si="9"/>
        <v>1015.8000000000002</v>
      </c>
      <c r="BB15" s="46">
        <f t="shared" si="10"/>
        <v>0</v>
      </c>
      <c r="BC15" s="196">
        <f t="shared" si="34"/>
        <v>507.4748</v>
      </c>
      <c r="BD15" s="58">
        <f t="shared" si="11"/>
        <v>35.6748</v>
      </c>
      <c r="BE15" s="58">
        <f t="shared" si="12"/>
        <v>467.5</v>
      </c>
      <c r="BF15" s="58">
        <f t="shared" si="13"/>
        <v>4.3</v>
      </c>
      <c r="BG15" s="197">
        <f t="shared" si="14"/>
        <v>508.3252000000001</v>
      </c>
      <c r="BH15" s="58">
        <f t="shared" si="15"/>
        <v>419.12520000000006</v>
      </c>
      <c r="BI15" s="58">
        <f t="shared" si="16"/>
        <v>6.7</v>
      </c>
      <c r="BJ15" s="58">
        <f t="shared" si="17"/>
        <v>39.3</v>
      </c>
      <c r="BK15" s="58">
        <f t="shared" si="18"/>
        <v>0</v>
      </c>
      <c r="BL15" s="58">
        <f t="shared" si="35"/>
        <v>43.200000000000045</v>
      </c>
      <c r="BM15" s="198">
        <f t="shared" si="19"/>
        <v>21</v>
      </c>
      <c r="BN15" s="203">
        <f t="shared" si="36"/>
        <v>24.165466666666667</v>
      </c>
      <c r="BO15" s="204">
        <f t="shared" si="37"/>
        <v>1.6987999999999999</v>
      </c>
      <c r="BP15" s="204">
        <f t="shared" si="38"/>
        <v>22.261904761904763</v>
      </c>
      <c r="BQ15" s="204">
        <f t="shared" si="39"/>
        <v>0.20476190476190476</v>
      </c>
      <c r="BR15" s="207">
        <f t="shared" si="40"/>
        <v>24.20596190476191</v>
      </c>
      <c r="BS15" s="204">
        <f t="shared" si="41"/>
        <v>19.95834285714286</v>
      </c>
      <c r="BT15" s="204">
        <f t="shared" si="42"/>
        <v>0.3190476190476191</v>
      </c>
      <c r="BU15" s="204">
        <f t="shared" si="43"/>
        <v>1.8714285714285712</v>
      </c>
      <c r="BV15" s="204">
        <f t="shared" si="44"/>
        <v>0</v>
      </c>
      <c r="BW15" s="204">
        <f t="shared" si="45"/>
        <v>2.057142857142859</v>
      </c>
      <c r="BX15" s="208">
        <f t="shared" si="20"/>
        <v>48.37142857142858</v>
      </c>
      <c r="BY15" s="56">
        <f t="shared" si="21"/>
        <v>1015.8000000000002</v>
      </c>
      <c r="BZ15" s="42">
        <f t="shared" si="22"/>
        <v>217</v>
      </c>
      <c r="CA15" s="57">
        <f t="shared" si="23"/>
        <v>798.8000000000002</v>
      </c>
    </row>
    <row r="16" spans="1:79" ht="15">
      <c r="A16" s="15" t="s">
        <v>12</v>
      </c>
      <c r="B16" s="58">
        <v>349.3</v>
      </c>
      <c r="C16" s="58">
        <v>1.2</v>
      </c>
      <c r="D16" s="58">
        <v>105.5</v>
      </c>
      <c r="E16" s="58">
        <v>0</v>
      </c>
      <c r="F16" s="58">
        <v>0</v>
      </c>
      <c r="G16" s="59">
        <v>133.5</v>
      </c>
      <c r="H16" s="58">
        <v>108.1</v>
      </c>
      <c r="I16" s="58">
        <v>48.9</v>
      </c>
      <c r="J16" s="59">
        <v>3.6</v>
      </c>
      <c r="K16" s="42">
        <v>0</v>
      </c>
      <c r="L16" s="58">
        <v>367.2</v>
      </c>
      <c r="M16" s="39">
        <f t="shared" si="24"/>
        <v>1117.3</v>
      </c>
      <c r="N16" s="40">
        <f t="shared" si="25"/>
        <v>216.2</v>
      </c>
      <c r="O16" s="41">
        <f t="shared" si="26"/>
        <v>1333.5</v>
      </c>
      <c r="P16" s="15" t="s">
        <v>34</v>
      </c>
      <c r="Q16" s="13">
        <v>23</v>
      </c>
      <c r="R16" s="42">
        <v>27.4</v>
      </c>
      <c r="S16" s="42">
        <f t="shared" si="27"/>
        <v>1.2</v>
      </c>
      <c r="T16" s="42">
        <f t="shared" si="0"/>
        <v>8.274799999999999</v>
      </c>
      <c r="U16" s="43">
        <f t="shared" si="28"/>
        <v>36.8748</v>
      </c>
      <c r="V16" s="60">
        <f>356.2+184.8</f>
        <v>541</v>
      </c>
      <c r="W16" s="44">
        <v>0</v>
      </c>
      <c r="X16" s="45">
        <f t="shared" si="29"/>
        <v>541</v>
      </c>
      <c r="Y16" s="46">
        <v>0</v>
      </c>
      <c r="Z16" s="46">
        <v>7</v>
      </c>
      <c r="AA16" s="47">
        <f t="shared" si="1"/>
        <v>7</v>
      </c>
      <c r="AB16" s="48">
        <f t="shared" si="30"/>
        <v>584.8748</v>
      </c>
      <c r="AC16" s="46">
        <f t="shared" si="2"/>
        <v>133.5</v>
      </c>
      <c r="AD16" s="46">
        <v>0</v>
      </c>
      <c r="AE16" s="46">
        <v>0</v>
      </c>
      <c r="AF16" s="46">
        <f>6.1+12+2.8+29.5+1.2+17</f>
        <v>68.60000000000001</v>
      </c>
      <c r="AG16" s="44">
        <v>49.9</v>
      </c>
      <c r="AH16" s="46">
        <v>0</v>
      </c>
      <c r="AI16" s="46">
        <f>1.3+1.2</f>
        <v>2.5</v>
      </c>
      <c r="AJ16" s="46">
        <v>9</v>
      </c>
      <c r="AK16" s="47">
        <f t="shared" si="31"/>
        <v>130</v>
      </c>
      <c r="AL16" s="46">
        <v>0</v>
      </c>
      <c r="AM16" s="46">
        <v>0</v>
      </c>
      <c r="AN16" s="46">
        <v>0</v>
      </c>
      <c r="AO16" s="47">
        <f t="shared" si="32"/>
        <v>0</v>
      </c>
      <c r="AP16" s="46">
        <f t="shared" si="3"/>
        <v>0</v>
      </c>
      <c r="AQ16" s="46">
        <v>0</v>
      </c>
      <c r="AR16" s="46">
        <v>0</v>
      </c>
      <c r="AS16" s="46">
        <f t="shared" si="4"/>
        <v>321.90000000000003</v>
      </c>
      <c r="AT16" s="46">
        <f t="shared" si="5"/>
        <v>97.2252</v>
      </c>
      <c r="AU16" s="47">
        <f t="shared" si="33"/>
        <v>419.12520000000006</v>
      </c>
      <c r="AV16" s="46">
        <f t="shared" si="6"/>
        <v>7</v>
      </c>
      <c r="AW16" s="46">
        <f t="shared" si="7"/>
        <v>3.6</v>
      </c>
      <c r="AX16" s="46">
        <v>24</v>
      </c>
      <c r="AY16" s="46">
        <f>29.4+2</f>
        <v>31.4</v>
      </c>
      <c r="AZ16" s="49">
        <f t="shared" si="8"/>
        <v>748.6252000000001</v>
      </c>
      <c r="BA16" s="50">
        <f t="shared" si="9"/>
        <v>1333.5</v>
      </c>
      <c r="BB16" s="46">
        <f t="shared" si="10"/>
        <v>0</v>
      </c>
      <c r="BC16" s="196">
        <f t="shared" si="34"/>
        <v>584.8748</v>
      </c>
      <c r="BD16" s="58">
        <f t="shared" si="11"/>
        <v>36.8748</v>
      </c>
      <c r="BE16" s="58">
        <f t="shared" si="12"/>
        <v>541</v>
      </c>
      <c r="BF16" s="58">
        <f t="shared" si="13"/>
        <v>7</v>
      </c>
      <c r="BG16" s="197">
        <f t="shared" si="14"/>
        <v>748.6252000000001</v>
      </c>
      <c r="BH16" s="58">
        <f t="shared" si="15"/>
        <v>419.12520000000006</v>
      </c>
      <c r="BI16" s="58">
        <f t="shared" si="16"/>
        <v>133.5</v>
      </c>
      <c r="BJ16" s="58">
        <f t="shared" si="17"/>
        <v>130</v>
      </c>
      <c r="BK16" s="58">
        <f t="shared" si="18"/>
        <v>0</v>
      </c>
      <c r="BL16" s="58">
        <f t="shared" si="35"/>
        <v>66</v>
      </c>
      <c r="BM16" s="198">
        <f t="shared" si="19"/>
        <v>23</v>
      </c>
      <c r="BN16" s="203">
        <f t="shared" si="36"/>
        <v>25.42933913043478</v>
      </c>
      <c r="BO16" s="204">
        <f t="shared" si="37"/>
        <v>1.6032521739130434</v>
      </c>
      <c r="BP16" s="204">
        <f t="shared" si="38"/>
        <v>23.52173913043478</v>
      </c>
      <c r="BQ16" s="204">
        <f t="shared" si="39"/>
        <v>0.30434782608695654</v>
      </c>
      <c r="BR16" s="207">
        <f t="shared" si="40"/>
        <v>32.548921739130435</v>
      </c>
      <c r="BS16" s="204">
        <f t="shared" si="41"/>
        <v>18.222834782608697</v>
      </c>
      <c r="BT16" s="204">
        <f t="shared" si="42"/>
        <v>5.804347826086956</v>
      </c>
      <c r="BU16" s="204">
        <f t="shared" si="43"/>
        <v>5.6521739130434785</v>
      </c>
      <c r="BV16" s="204">
        <f t="shared" si="44"/>
        <v>0</v>
      </c>
      <c r="BW16" s="204">
        <f t="shared" si="45"/>
        <v>2.869565217391304</v>
      </c>
      <c r="BX16" s="208">
        <f t="shared" si="20"/>
        <v>57.97826086956522</v>
      </c>
      <c r="BY16" s="56">
        <f t="shared" si="21"/>
        <v>1333.5</v>
      </c>
      <c r="BZ16" s="42">
        <f t="shared" si="22"/>
        <v>216.2</v>
      </c>
      <c r="CA16" s="57">
        <f t="shared" si="23"/>
        <v>1117.3</v>
      </c>
    </row>
    <row r="17" spans="1:79" ht="15">
      <c r="A17" s="15" t="s">
        <v>13</v>
      </c>
      <c r="B17" s="58">
        <v>458.4</v>
      </c>
      <c r="C17" s="58">
        <v>0</v>
      </c>
      <c r="D17" s="58">
        <v>138.4</v>
      </c>
      <c r="E17" s="58">
        <v>0</v>
      </c>
      <c r="F17" s="58">
        <v>0</v>
      </c>
      <c r="G17" s="59">
        <v>384.4</v>
      </c>
      <c r="H17" s="58">
        <v>116.4</v>
      </c>
      <c r="I17" s="58">
        <v>31.9</v>
      </c>
      <c r="J17" s="59">
        <v>8.5</v>
      </c>
      <c r="K17" s="42">
        <v>0</v>
      </c>
      <c r="L17" s="58">
        <v>301.4</v>
      </c>
      <c r="M17" s="39">
        <f t="shared" si="24"/>
        <v>1439.4</v>
      </c>
      <c r="N17" s="40">
        <f t="shared" si="25"/>
        <v>257.1</v>
      </c>
      <c r="O17" s="41">
        <f t="shared" si="26"/>
        <v>1696.5</v>
      </c>
      <c r="P17" s="15" t="s">
        <v>33</v>
      </c>
      <c r="Q17" s="13">
        <v>27</v>
      </c>
      <c r="R17" s="42">
        <v>27.4</v>
      </c>
      <c r="S17" s="42">
        <f t="shared" si="27"/>
        <v>0</v>
      </c>
      <c r="T17" s="42">
        <f t="shared" si="0"/>
        <v>8.274799999999999</v>
      </c>
      <c r="U17" s="43">
        <f t="shared" si="28"/>
        <v>35.6748</v>
      </c>
      <c r="V17" s="60">
        <f>259.4+219.7</f>
        <v>479.09999999999997</v>
      </c>
      <c r="W17" s="44">
        <v>31</v>
      </c>
      <c r="X17" s="45">
        <f t="shared" si="29"/>
        <v>510.09999999999997</v>
      </c>
      <c r="Y17" s="46">
        <v>0</v>
      </c>
      <c r="Z17" s="46">
        <v>7.6</v>
      </c>
      <c r="AA17" s="47">
        <f>Y17+Z17</f>
        <v>7.6</v>
      </c>
      <c r="AB17" s="48">
        <f t="shared" si="30"/>
        <v>553.3747999999999</v>
      </c>
      <c r="AC17" s="46">
        <f t="shared" si="2"/>
        <v>384.4</v>
      </c>
      <c r="AD17" s="46">
        <v>0</v>
      </c>
      <c r="AE17" s="46">
        <v>0</v>
      </c>
      <c r="AF17" s="46">
        <f>13.8+12+2.5+45.9+1.2+3.4</f>
        <v>78.80000000000001</v>
      </c>
      <c r="AG17" s="44">
        <v>59.2</v>
      </c>
      <c r="AH17" s="46">
        <v>0</v>
      </c>
      <c r="AI17" s="46">
        <f>0.7+1.8</f>
        <v>2.5</v>
      </c>
      <c r="AJ17" s="46">
        <v>0</v>
      </c>
      <c r="AK17" s="47">
        <f t="shared" si="31"/>
        <v>140.5</v>
      </c>
      <c r="AL17" s="46">
        <v>0</v>
      </c>
      <c r="AM17" s="46">
        <v>0</v>
      </c>
      <c r="AN17" s="46">
        <v>0</v>
      </c>
      <c r="AO17" s="47">
        <f t="shared" si="32"/>
        <v>0</v>
      </c>
      <c r="AP17" s="46">
        <f t="shared" si="3"/>
        <v>0</v>
      </c>
      <c r="AQ17" s="46">
        <v>0</v>
      </c>
      <c r="AR17" s="46">
        <v>0</v>
      </c>
      <c r="AS17" s="46">
        <f t="shared" si="4"/>
        <v>431</v>
      </c>
      <c r="AT17" s="46">
        <f t="shared" si="5"/>
        <v>130.1252</v>
      </c>
      <c r="AU17" s="47">
        <f t="shared" si="33"/>
        <v>561.1252</v>
      </c>
      <c r="AV17" s="46">
        <f t="shared" si="6"/>
        <v>7.6</v>
      </c>
      <c r="AW17" s="46">
        <f t="shared" si="7"/>
        <v>8.5</v>
      </c>
      <c r="AX17" s="46">
        <v>3.6</v>
      </c>
      <c r="AY17" s="46">
        <f>35.1+2.3</f>
        <v>37.4</v>
      </c>
      <c r="AZ17" s="49">
        <f t="shared" si="8"/>
        <v>1143.1252</v>
      </c>
      <c r="BA17" s="50">
        <f t="shared" si="9"/>
        <v>1696.5</v>
      </c>
      <c r="BB17" s="46">
        <f t="shared" si="10"/>
        <v>0</v>
      </c>
      <c r="BC17" s="196">
        <f t="shared" si="34"/>
        <v>553.3747999999999</v>
      </c>
      <c r="BD17" s="58">
        <f t="shared" si="11"/>
        <v>35.6748</v>
      </c>
      <c r="BE17" s="58">
        <f t="shared" si="12"/>
        <v>510.09999999999997</v>
      </c>
      <c r="BF17" s="58">
        <f t="shared" si="13"/>
        <v>7.6</v>
      </c>
      <c r="BG17" s="197">
        <f t="shared" si="14"/>
        <v>1143.1252</v>
      </c>
      <c r="BH17" s="58">
        <f t="shared" si="15"/>
        <v>561.1252</v>
      </c>
      <c r="BI17" s="58">
        <f t="shared" si="16"/>
        <v>384.4</v>
      </c>
      <c r="BJ17" s="58">
        <f t="shared" si="17"/>
        <v>140.5</v>
      </c>
      <c r="BK17" s="58">
        <f t="shared" si="18"/>
        <v>0</v>
      </c>
      <c r="BL17" s="58">
        <f t="shared" si="35"/>
        <v>57.10000000000002</v>
      </c>
      <c r="BM17" s="198">
        <f t="shared" si="19"/>
        <v>27</v>
      </c>
      <c r="BN17" s="203">
        <f t="shared" si="36"/>
        <v>20.49536296296296</v>
      </c>
      <c r="BO17" s="204">
        <f t="shared" si="37"/>
        <v>1.3212888888888887</v>
      </c>
      <c r="BP17" s="204">
        <f t="shared" si="38"/>
        <v>18.892592592592592</v>
      </c>
      <c r="BQ17" s="204">
        <f t="shared" si="39"/>
        <v>0.28148148148148144</v>
      </c>
      <c r="BR17" s="207">
        <f t="shared" si="40"/>
        <v>42.337970370370364</v>
      </c>
      <c r="BS17" s="204">
        <f t="shared" si="41"/>
        <v>20.782414814814814</v>
      </c>
      <c r="BT17" s="204">
        <f t="shared" si="42"/>
        <v>14.237037037037036</v>
      </c>
      <c r="BU17" s="204">
        <f t="shared" si="43"/>
        <v>5.203703703703703</v>
      </c>
      <c r="BV17" s="204">
        <f t="shared" si="44"/>
        <v>0</v>
      </c>
      <c r="BW17" s="204">
        <f t="shared" si="45"/>
        <v>2.1148148148148156</v>
      </c>
      <c r="BX17" s="208">
        <f t="shared" si="20"/>
        <v>62.83333333333333</v>
      </c>
      <c r="BY17" s="56">
        <f t="shared" si="21"/>
        <v>1696.4999999999998</v>
      </c>
      <c r="BZ17" s="42">
        <f t="shared" si="22"/>
        <v>257.1</v>
      </c>
      <c r="CA17" s="57">
        <f t="shared" si="23"/>
        <v>1439.3999999999996</v>
      </c>
    </row>
    <row r="18" spans="1:79" ht="15">
      <c r="A18" s="15" t="s">
        <v>103</v>
      </c>
      <c r="B18" s="58">
        <v>493</v>
      </c>
      <c r="C18" s="58">
        <v>0</v>
      </c>
      <c r="D18" s="58">
        <v>148.9</v>
      </c>
      <c r="E18" s="58">
        <v>0</v>
      </c>
      <c r="F18" s="58">
        <v>0</v>
      </c>
      <c r="G18" s="59">
        <v>208.9</v>
      </c>
      <c r="H18" s="58">
        <v>67.4</v>
      </c>
      <c r="I18" s="58">
        <v>34.1</v>
      </c>
      <c r="J18" s="59">
        <v>3.1</v>
      </c>
      <c r="K18" s="42">
        <v>0</v>
      </c>
      <c r="L18" s="58">
        <v>240.8</v>
      </c>
      <c r="M18" s="39">
        <f t="shared" si="24"/>
        <v>1196.2</v>
      </c>
      <c r="N18" s="40">
        <f t="shared" si="25"/>
        <v>187.9</v>
      </c>
      <c r="O18" s="41">
        <f t="shared" si="26"/>
        <v>1384.1000000000001</v>
      </c>
      <c r="P18" s="15" t="s">
        <v>32</v>
      </c>
      <c r="Q18" s="13">
        <v>22</v>
      </c>
      <c r="R18" s="42">
        <v>33.2</v>
      </c>
      <c r="S18" s="42">
        <f t="shared" si="27"/>
        <v>0</v>
      </c>
      <c r="T18" s="42">
        <f t="shared" si="0"/>
        <v>10.0264</v>
      </c>
      <c r="U18" s="43">
        <f t="shared" si="28"/>
        <v>43.226400000000005</v>
      </c>
      <c r="V18" s="60">
        <f>229.8+160.6</f>
        <v>390.4</v>
      </c>
      <c r="W18" s="44">
        <v>0</v>
      </c>
      <c r="X18" s="45">
        <f t="shared" si="29"/>
        <v>390.4</v>
      </c>
      <c r="Y18" s="46">
        <v>0</v>
      </c>
      <c r="Z18" s="46">
        <v>7.8</v>
      </c>
      <c r="AA18" s="47">
        <f t="shared" si="1"/>
        <v>7.8</v>
      </c>
      <c r="AB18" s="48">
        <f t="shared" si="30"/>
        <v>441.4264</v>
      </c>
      <c r="AC18" s="46">
        <f t="shared" si="2"/>
        <v>208.9</v>
      </c>
      <c r="AD18" s="46">
        <v>0</v>
      </c>
      <c r="AE18" s="46">
        <v>0</v>
      </c>
      <c r="AF18" s="46">
        <f>6.9+12+1+17.3+0.8</f>
        <v>38</v>
      </c>
      <c r="AG18" s="44">
        <v>53</v>
      </c>
      <c r="AH18" s="46">
        <v>0</v>
      </c>
      <c r="AI18" s="46">
        <f>1.3+1</f>
        <v>2.3</v>
      </c>
      <c r="AJ18" s="46">
        <v>0</v>
      </c>
      <c r="AK18" s="47">
        <f t="shared" si="31"/>
        <v>93.3</v>
      </c>
      <c r="AL18" s="46">
        <v>0</v>
      </c>
      <c r="AM18" s="46">
        <v>0</v>
      </c>
      <c r="AN18" s="46">
        <v>0</v>
      </c>
      <c r="AO18" s="47">
        <f t="shared" si="32"/>
        <v>0</v>
      </c>
      <c r="AP18" s="46">
        <f t="shared" si="3"/>
        <v>0</v>
      </c>
      <c r="AQ18" s="46">
        <v>0</v>
      </c>
      <c r="AR18" s="46">
        <v>0</v>
      </c>
      <c r="AS18" s="46">
        <f t="shared" si="4"/>
        <v>459.8</v>
      </c>
      <c r="AT18" s="46">
        <f t="shared" si="5"/>
        <v>138.8736</v>
      </c>
      <c r="AU18" s="47">
        <f t="shared" si="33"/>
        <v>598.6736000000001</v>
      </c>
      <c r="AV18" s="46">
        <f t="shared" si="6"/>
        <v>7.8</v>
      </c>
      <c r="AW18" s="46">
        <f t="shared" si="7"/>
        <v>3.1</v>
      </c>
      <c r="AX18" s="46">
        <v>3.6</v>
      </c>
      <c r="AY18" s="46">
        <f>25.4+1.9</f>
        <v>27.299999999999997</v>
      </c>
      <c r="AZ18" s="49">
        <f t="shared" si="8"/>
        <v>942.6736000000001</v>
      </c>
      <c r="BA18" s="50">
        <f t="shared" si="9"/>
        <v>1384.1000000000001</v>
      </c>
      <c r="BB18" s="46">
        <f t="shared" si="10"/>
        <v>0</v>
      </c>
      <c r="BC18" s="196">
        <f t="shared" si="34"/>
        <v>441.4264</v>
      </c>
      <c r="BD18" s="58">
        <f t="shared" si="11"/>
        <v>43.226400000000005</v>
      </c>
      <c r="BE18" s="58">
        <f t="shared" si="12"/>
        <v>390.4</v>
      </c>
      <c r="BF18" s="58">
        <f t="shared" si="13"/>
        <v>7.8</v>
      </c>
      <c r="BG18" s="197">
        <f t="shared" si="14"/>
        <v>942.6736000000001</v>
      </c>
      <c r="BH18" s="58">
        <f t="shared" si="15"/>
        <v>598.6736000000001</v>
      </c>
      <c r="BI18" s="58">
        <f t="shared" si="16"/>
        <v>208.9</v>
      </c>
      <c r="BJ18" s="58">
        <f t="shared" si="17"/>
        <v>93.3</v>
      </c>
      <c r="BK18" s="58">
        <f t="shared" si="18"/>
        <v>0</v>
      </c>
      <c r="BL18" s="58">
        <f t="shared" si="35"/>
        <v>41.8</v>
      </c>
      <c r="BM18" s="198">
        <f t="shared" si="19"/>
        <v>22</v>
      </c>
      <c r="BN18" s="203">
        <f t="shared" si="36"/>
        <v>20.064836363636367</v>
      </c>
      <c r="BO18" s="204">
        <f t="shared" si="37"/>
        <v>1.964836363636364</v>
      </c>
      <c r="BP18" s="204">
        <f t="shared" si="38"/>
        <v>17.745454545454546</v>
      </c>
      <c r="BQ18" s="204">
        <f t="shared" si="39"/>
        <v>0.35454545454545455</v>
      </c>
      <c r="BR18" s="207">
        <f t="shared" si="40"/>
        <v>42.848800000000004</v>
      </c>
      <c r="BS18" s="204">
        <f t="shared" si="41"/>
        <v>27.212436363636368</v>
      </c>
      <c r="BT18" s="204">
        <f t="shared" si="42"/>
        <v>9.495454545454546</v>
      </c>
      <c r="BU18" s="204">
        <f t="shared" si="43"/>
        <v>4.240909090909091</v>
      </c>
      <c r="BV18" s="204">
        <f t="shared" si="44"/>
        <v>0</v>
      </c>
      <c r="BW18" s="204">
        <f t="shared" si="45"/>
        <v>1.9</v>
      </c>
      <c r="BX18" s="208">
        <f t="shared" si="20"/>
        <v>62.91363636363637</v>
      </c>
      <c r="BY18" s="56">
        <f t="shared" si="21"/>
        <v>1384.1000000000001</v>
      </c>
      <c r="BZ18" s="42">
        <f t="shared" si="22"/>
        <v>187.9</v>
      </c>
      <c r="CA18" s="57">
        <f t="shared" si="23"/>
        <v>1196.2</v>
      </c>
    </row>
    <row r="19" spans="1:79" ht="15">
      <c r="A19" s="15" t="s">
        <v>14</v>
      </c>
      <c r="B19" s="58">
        <v>347.6</v>
      </c>
      <c r="C19" s="58">
        <v>0</v>
      </c>
      <c r="D19" s="58">
        <v>105</v>
      </c>
      <c r="E19" s="58">
        <v>0</v>
      </c>
      <c r="F19" s="58">
        <v>0</v>
      </c>
      <c r="G19" s="59">
        <v>43.8</v>
      </c>
      <c r="H19" s="58">
        <v>23.9</v>
      </c>
      <c r="I19" s="58">
        <v>34.3</v>
      </c>
      <c r="J19" s="59">
        <v>18.3</v>
      </c>
      <c r="K19" s="42">
        <v>0</v>
      </c>
      <c r="L19" s="58">
        <v>263.7</v>
      </c>
      <c r="M19" s="39">
        <f t="shared" si="24"/>
        <v>836.5999999999999</v>
      </c>
      <c r="N19" s="40">
        <f t="shared" si="25"/>
        <v>202.6</v>
      </c>
      <c r="O19" s="41">
        <f t="shared" si="26"/>
        <v>1039.1999999999998</v>
      </c>
      <c r="P19" s="15" t="s">
        <v>31</v>
      </c>
      <c r="Q19" s="13">
        <v>24</v>
      </c>
      <c r="R19" s="42">
        <v>26.5</v>
      </c>
      <c r="S19" s="42">
        <f t="shared" si="27"/>
        <v>0</v>
      </c>
      <c r="T19" s="42">
        <f t="shared" si="0"/>
        <v>8.003</v>
      </c>
      <c r="U19" s="43">
        <f t="shared" si="28"/>
        <v>34.503</v>
      </c>
      <c r="V19" s="60">
        <f>252.7+173.2</f>
        <v>425.9</v>
      </c>
      <c r="W19" s="44">
        <v>0</v>
      </c>
      <c r="X19" s="45">
        <f t="shared" si="29"/>
        <v>425.9</v>
      </c>
      <c r="Y19" s="46">
        <v>0</v>
      </c>
      <c r="Z19" s="46">
        <v>7.6</v>
      </c>
      <c r="AA19" s="47">
        <f t="shared" si="1"/>
        <v>7.6</v>
      </c>
      <c r="AB19" s="48">
        <f t="shared" si="30"/>
        <v>468.003</v>
      </c>
      <c r="AC19" s="46">
        <f t="shared" si="2"/>
        <v>43.8</v>
      </c>
      <c r="AD19" s="46">
        <v>0</v>
      </c>
      <c r="AE19" s="46">
        <v>0</v>
      </c>
      <c r="AF19" s="46">
        <f>2+0.8</f>
        <v>2.8</v>
      </c>
      <c r="AG19" s="44">
        <v>38.6</v>
      </c>
      <c r="AH19" s="46">
        <v>0</v>
      </c>
      <c r="AI19" s="46">
        <f>0</f>
        <v>0</v>
      </c>
      <c r="AJ19" s="46">
        <v>9</v>
      </c>
      <c r="AK19" s="47">
        <f t="shared" si="31"/>
        <v>50.4</v>
      </c>
      <c r="AL19" s="46">
        <v>0</v>
      </c>
      <c r="AM19" s="46">
        <v>0</v>
      </c>
      <c r="AN19" s="46">
        <v>0</v>
      </c>
      <c r="AO19" s="47">
        <f t="shared" si="32"/>
        <v>0</v>
      </c>
      <c r="AP19" s="46">
        <f t="shared" si="3"/>
        <v>0</v>
      </c>
      <c r="AQ19" s="46">
        <v>0</v>
      </c>
      <c r="AR19" s="46">
        <v>0</v>
      </c>
      <c r="AS19" s="46">
        <f t="shared" si="4"/>
        <v>321.1</v>
      </c>
      <c r="AT19" s="46">
        <f t="shared" si="5"/>
        <v>96.997</v>
      </c>
      <c r="AU19" s="47">
        <f t="shared" si="33"/>
        <v>418.09700000000004</v>
      </c>
      <c r="AV19" s="46">
        <f t="shared" si="6"/>
        <v>7.6</v>
      </c>
      <c r="AW19" s="46">
        <f t="shared" si="7"/>
        <v>18.3</v>
      </c>
      <c r="AX19" s="46">
        <v>3.6</v>
      </c>
      <c r="AY19" s="46">
        <f>27.4+2</f>
        <v>29.4</v>
      </c>
      <c r="AZ19" s="49">
        <f t="shared" si="8"/>
        <v>571.197</v>
      </c>
      <c r="BA19" s="50">
        <f t="shared" si="9"/>
        <v>1039.2</v>
      </c>
      <c r="BB19" s="46">
        <f t="shared" si="10"/>
        <v>0</v>
      </c>
      <c r="BC19" s="196">
        <f t="shared" si="34"/>
        <v>468.003</v>
      </c>
      <c r="BD19" s="58">
        <f t="shared" si="11"/>
        <v>34.503</v>
      </c>
      <c r="BE19" s="58">
        <f t="shared" si="12"/>
        <v>425.9</v>
      </c>
      <c r="BF19" s="58">
        <f t="shared" si="13"/>
        <v>7.6</v>
      </c>
      <c r="BG19" s="197">
        <f t="shared" si="14"/>
        <v>571.197</v>
      </c>
      <c r="BH19" s="58">
        <f t="shared" si="15"/>
        <v>418.09700000000004</v>
      </c>
      <c r="BI19" s="58">
        <f t="shared" si="16"/>
        <v>43.8</v>
      </c>
      <c r="BJ19" s="58">
        <f t="shared" si="17"/>
        <v>50.4</v>
      </c>
      <c r="BK19" s="58">
        <f t="shared" si="18"/>
        <v>0</v>
      </c>
      <c r="BL19" s="58">
        <f t="shared" si="35"/>
        <v>58.89999999999997</v>
      </c>
      <c r="BM19" s="198">
        <f t="shared" si="19"/>
        <v>24</v>
      </c>
      <c r="BN19" s="203">
        <f t="shared" si="36"/>
        <v>19.500125</v>
      </c>
      <c r="BO19" s="204">
        <f t="shared" si="37"/>
        <v>1.437625</v>
      </c>
      <c r="BP19" s="204">
        <f t="shared" si="38"/>
        <v>17.745833333333334</v>
      </c>
      <c r="BQ19" s="204">
        <f t="shared" si="39"/>
        <v>0.31666666666666665</v>
      </c>
      <c r="BR19" s="207">
        <f t="shared" si="40"/>
        <v>23.799875</v>
      </c>
      <c r="BS19" s="204">
        <f t="shared" si="41"/>
        <v>17.420708333333334</v>
      </c>
      <c r="BT19" s="204">
        <f t="shared" si="42"/>
        <v>1.825</v>
      </c>
      <c r="BU19" s="204">
        <f t="shared" si="43"/>
        <v>2.1</v>
      </c>
      <c r="BV19" s="204">
        <f t="shared" si="44"/>
        <v>0</v>
      </c>
      <c r="BW19" s="204">
        <f t="shared" si="45"/>
        <v>2.4541666666666653</v>
      </c>
      <c r="BX19" s="208">
        <f t="shared" si="20"/>
        <v>43.3</v>
      </c>
      <c r="BY19" s="56">
        <f t="shared" si="21"/>
        <v>1039.1999999999998</v>
      </c>
      <c r="BZ19" s="42">
        <f t="shared" si="22"/>
        <v>202.6</v>
      </c>
      <c r="CA19" s="57">
        <f t="shared" si="23"/>
        <v>836.5999999999998</v>
      </c>
    </row>
    <row r="20" spans="1:79" ht="15">
      <c r="A20" s="15" t="s">
        <v>15</v>
      </c>
      <c r="B20" s="58">
        <v>371.7</v>
      </c>
      <c r="C20" s="58">
        <v>0</v>
      </c>
      <c r="D20" s="58">
        <v>112.2</v>
      </c>
      <c r="E20" s="58">
        <v>0</v>
      </c>
      <c r="F20" s="58">
        <v>0</v>
      </c>
      <c r="G20" s="59">
        <v>219.7</v>
      </c>
      <c r="H20" s="58">
        <v>599.1</v>
      </c>
      <c r="I20" s="58">
        <v>46.3</v>
      </c>
      <c r="J20" s="59">
        <v>4.5</v>
      </c>
      <c r="K20" s="42">
        <v>0</v>
      </c>
      <c r="L20" s="58">
        <v>342.4</v>
      </c>
      <c r="M20" s="39">
        <f t="shared" si="24"/>
        <v>1695.8999999999996</v>
      </c>
      <c r="N20" s="40">
        <f t="shared" si="25"/>
        <v>296.8</v>
      </c>
      <c r="O20" s="41">
        <f t="shared" si="26"/>
        <v>1992.6999999999996</v>
      </c>
      <c r="P20" s="15" t="s">
        <v>30</v>
      </c>
      <c r="Q20" s="13">
        <v>28</v>
      </c>
      <c r="R20" s="42">
        <v>35.3</v>
      </c>
      <c r="S20" s="42">
        <f t="shared" si="27"/>
        <v>0</v>
      </c>
      <c r="T20" s="42">
        <f t="shared" si="0"/>
        <v>10.660599999999999</v>
      </c>
      <c r="U20" s="43">
        <f t="shared" si="28"/>
        <v>45.9606</v>
      </c>
      <c r="V20" s="60">
        <f>331.4+253.7</f>
        <v>585.0999999999999</v>
      </c>
      <c r="W20" s="44">
        <v>0</v>
      </c>
      <c r="X20" s="45">
        <f t="shared" si="29"/>
        <v>585.0999999999999</v>
      </c>
      <c r="Y20" s="46">
        <v>0</v>
      </c>
      <c r="Z20" s="46">
        <v>5</v>
      </c>
      <c r="AA20" s="47">
        <f t="shared" si="1"/>
        <v>5</v>
      </c>
      <c r="AB20" s="48">
        <f t="shared" si="30"/>
        <v>636.0605999999999</v>
      </c>
      <c r="AC20" s="46">
        <f t="shared" si="2"/>
        <v>219.7</v>
      </c>
      <c r="AD20" s="46">
        <v>0</v>
      </c>
      <c r="AE20" s="46">
        <v>0</v>
      </c>
      <c r="AF20" s="46">
        <f>5.5+12+2.3+22.7+0.8+1.7</f>
        <v>45</v>
      </c>
      <c r="AG20" s="44">
        <v>587</v>
      </c>
      <c r="AH20" s="46">
        <v>0</v>
      </c>
      <c r="AI20" s="46">
        <f>1.8</f>
        <v>1.8</v>
      </c>
      <c r="AJ20" s="46">
        <v>9</v>
      </c>
      <c r="AK20" s="47">
        <f t="shared" si="31"/>
        <v>642.8</v>
      </c>
      <c r="AL20" s="46">
        <v>0</v>
      </c>
      <c r="AM20" s="46">
        <v>0</v>
      </c>
      <c r="AN20" s="46">
        <v>0</v>
      </c>
      <c r="AO20" s="47">
        <f t="shared" si="32"/>
        <v>0</v>
      </c>
      <c r="AP20" s="46">
        <f t="shared" si="3"/>
        <v>0</v>
      </c>
      <c r="AQ20" s="46">
        <v>0</v>
      </c>
      <c r="AR20" s="46">
        <v>0</v>
      </c>
      <c r="AS20" s="46">
        <f t="shared" si="4"/>
        <v>336.4</v>
      </c>
      <c r="AT20" s="46">
        <f t="shared" si="5"/>
        <v>101.5394</v>
      </c>
      <c r="AU20" s="47">
        <f t="shared" si="33"/>
        <v>437.9394</v>
      </c>
      <c r="AV20" s="46">
        <f t="shared" si="6"/>
        <v>5</v>
      </c>
      <c r="AW20" s="46">
        <f t="shared" si="7"/>
        <v>4.5</v>
      </c>
      <c r="AX20" s="46">
        <v>3.6</v>
      </c>
      <c r="AY20" s="46">
        <f>40.3+2.8</f>
        <v>43.099999999999994</v>
      </c>
      <c r="AZ20" s="49">
        <f t="shared" si="8"/>
        <v>1356.6393999999998</v>
      </c>
      <c r="BA20" s="50">
        <f t="shared" si="9"/>
        <v>1992.6999999999998</v>
      </c>
      <c r="BB20" s="46">
        <f t="shared" si="10"/>
        <v>0</v>
      </c>
      <c r="BC20" s="196">
        <f t="shared" si="34"/>
        <v>636.0605999999999</v>
      </c>
      <c r="BD20" s="58">
        <f t="shared" si="11"/>
        <v>45.9606</v>
      </c>
      <c r="BE20" s="58">
        <f t="shared" si="12"/>
        <v>585.0999999999999</v>
      </c>
      <c r="BF20" s="58">
        <f t="shared" si="13"/>
        <v>5</v>
      </c>
      <c r="BG20" s="197">
        <f t="shared" si="14"/>
        <v>1356.6393999999998</v>
      </c>
      <c r="BH20" s="58">
        <f t="shared" si="15"/>
        <v>437.9394</v>
      </c>
      <c r="BI20" s="58">
        <f t="shared" si="16"/>
        <v>219.7</v>
      </c>
      <c r="BJ20" s="58">
        <f t="shared" si="17"/>
        <v>642.8</v>
      </c>
      <c r="BK20" s="58">
        <f t="shared" si="18"/>
        <v>0</v>
      </c>
      <c r="BL20" s="58">
        <f t="shared" si="35"/>
        <v>56.19999999999982</v>
      </c>
      <c r="BM20" s="198">
        <f t="shared" si="19"/>
        <v>28</v>
      </c>
      <c r="BN20" s="203">
        <f t="shared" si="36"/>
        <v>22.716449999999995</v>
      </c>
      <c r="BO20" s="204">
        <f t="shared" si="37"/>
        <v>1.64145</v>
      </c>
      <c r="BP20" s="204">
        <f t="shared" si="38"/>
        <v>20.89642857142857</v>
      </c>
      <c r="BQ20" s="204">
        <f t="shared" si="39"/>
        <v>0.17857142857142858</v>
      </c>
      <c r="BR20" s="207">
        <f t="shared" si="40"/>
        <v>48.451407142857136</v>
      </c>
      <c r="BS20" s="204">
        <f t="shared" si="41"/>
        <v>15.640692857142856</v>
      </c>
      <c r="BT20" s="204">
        <f t="shared" si="42"/>
        <v>7.846428571428571</v>
      </c>
      <c r="BU20" s="204">
        <f t="shared" si="43"/>
        <v>22.957142857142856</v>
      </c>
      <c r="BV20" s="204">
        <f t="shared" si="44"/>
        <v>0</v>
      </c>
      <c r="BW20" s="204">
        <f t="shared" si="45"/>
        <v>2.0071428571428505</v>
      </c>
      <c r="BX20" s="208">
        <f t="shared" si="20"/>
        <v>71.16785714285713</v>
      </c>
      <c r="BY20" s="56">
        <f t="shared" si="21"/>
        <v>1992.6999999999996</v>
      </c>
      <c r="BZ20" s="42">
        <f t="shared" si="22"/>
        <v>296.8</v>
      </c>
      <c r="CA20" s="57">
        <f t="shared" si="23"/>
        <v>1695.8999999999996</v>
      </c>
    </row>
    <row r="21" spans="1:79" ht="15">
      <c r="A21" s="15" t="s">
        <v>16</v>
      </c>
      <c r="B21" s="58">
        <v>352.3</v>
      </c>
      <c r="C21" s="58">
        <v>0</v>
      </c>
      <c r="D21" s="58">
        <v>106.4</v>
      </c>
      <c r="E21" s="58">
        <v>0</v>
      </c>
      <c r="F21" s="58">
        <v>0</v>
      </c>
      <c r="G21" s="59">
        <v>99.4</v>
      </c>
      <c r="H21" s="58">
        <v>47.5</v>
      </c>
      <c r="I21" s="58">
        <v>29.4</v>
      </c>
      <c r="J21" s="59">
        <v>4.6</v>
      </c>
      <c r="K21" s="42">
        <v>0</v>
      </c>
      <c r="L21" s="58">
        <v>155</v>
      </c>
      <c r="M21" s="39">
        <f t="shared" si="24"/>
        <v>794.6</v>
      </c>
      <c r="N21" s="40">
        <f t="shared" si="25"/>
        <v>118.6</v>
      </c>
      <c r="O21" s="41">
        <f t="shared" si="26"/>
        <v>913.2</v>
      </c>
      <c r="P21" s="15" t="s">
        <v>29</v>
      </c>
      <c r="Q21" s="13">
        <v>13</v>
      </c>
      <c r="R21" s="42">
        <v>28.9</v>
      </c>
      <c r="S21" s="42">
        <f t="shared" si="27"/>
        <v>0</v>
      </c>
      <c r="T21" s="42">
        <f t="shared" si="0"/>
        <v>8.7278</v>
      </c>
      <c r="U21" s="43">
        <f t="shared" si="28"/>
        <v>37.6278</v>
      </c>
      <c r="V21" s="60">
        <f>129.3+101.4</f>
        <v>230.70000000000002</v>
      </c>
      <c r="W21" s="44">
        <v>14.7</v>
      </c>
      <c r="X21" s="45">
        <f t="shared" si="29"/>
        <v>245.4</v>
      </c>
      <c r="Y21" s="46">
        <v>0</v>
      </c>
      <c r="Z21" s="46">
        <v>6.6</v>
      </c>
      <c r="AA21" s="47">
        <f t="shared" si="1"/>
        <v>6.6</v>
      </c>
      <c r="AB21" s="48">
        <f t="shared" si="30"/>
        <v>289.62780000000004</v>
      </c>
      <c r="AC21" s="46">
        <f t="shared" si="2"/>
        <v>99.4</v>
      </c>
      <c r="AD21" s="46">
        <v>0</v>
      </c>
      <c r="AE21" s="46">
        <v>0</v>
      </c>
      <c r="AF21" s="46">
        <f>4.4+12+3+0.8+1.7</f>
        <v>21.9</v>
      </c>
      <c r="AG21" s="44">
        <v>47.6</v>
      </c>
      <c r="AH21" s="46">
        <v>0</v>
      </c>
      <c r="AI21" s="46">
        <f>0.6+1</f>
        <v>1.6</v>
      </c>
      <c r="AJ21" s="46">
        <v>0</v>
      </c>
      <c r="AK21" s="47">
        <f t="shared" si="31"/>
        <v>71.1</v>
      </c>
      <c r="AL21" s="46">
        <v>0</v>
      </c>
      <c r="AM21" s="46">
        <v>0</v>
      </c>
      <c r="AN21" s="46">
        <v>0</v>
      </c>
      <c r="AO21" s="47">
        <f t="shared" si="32"/>
        <v>0</v>
      </c>
      <c r="AP21" s="46">
        <f t="shared" si="3"/>
        <v>0</v>
      </c>
      <c r="AQ21" s="46">
        <v>0</v>
      </c>
      <c r="AR21" s="46">
        <v>0</v>
      </c>
      <c r="AS21" s="46">
        <f t="shared" si="4"/>
        <v>323.40000000000003</v>
      </c>
      <c r="AT21" s="46">
        <f t="shared" si="5"/>
        <v>97.6722</v>
      </c>
      <c r="AU21" s="47">
        <f t="shared" si="33"/>
        <v>421.07220000000007</v>
      </c>
      <c r="AV21" s="46">
        <f t="shared" si="6"/>
        <v>6.6</v>
      </c>
      <c r="AW21" s="46">
        <f t="shared" si="7"/>
        <v>4.6</v>
      </c>
      <c r="AX21" s="46">
        <v>3.6</v>
      </c>
      <c r="AY21" s="46">
        <f>16.1+1.1</f>
        <v>17.200000000000003</v>
      </c>
      <c r="AZ21" s="49">
        <f t="shared" si="8"/>
        <v>623.5722000000002</v>
      </c>
      <c r="BA21" s="50">
        <f t="shared" si="9"/>
        <v>913.2000000000003</v>
      </c>
      <c r="BB21" s="46">
        <f t="shared" si="10"/>
        <v>0</v>
      </c>
      <c r="BC21" s="196">
        <f t="shared" si="34"/>
        <v>289.62780000000004</v>
      </c>
      <c r="BD21" s="58">
        <f t="shared" si="11"/>
        <v>37.6278</v>
      </c>
      <c r="BE21" s="58">
        <f t="shared" si="12"/>
        <v>245.4</v>
      </c>
      <c r="BF21" s="58">
        <f t="shared" si="13"/>
        <v>6.6</v>
      </c>
      <c r="BG21" s="197">
        <f t="shared" si="14"/>
        <v>623.5722000000002</v>
      </c>
      <c r="BH21" s="58">
        <f t="shared" si="15"/>
        <v>421.07220000000007</v>
      </c>
      <c r="BI21" s="58">
        <f t="shared" si="16"/>
        <v>99.4</v>
      </c>
      <c r="BJ21" s="58">
        <f t="shared" si="17"/>
        <v>71.1</v>
      </c>
      <c r="BK21" s="58">
        <f t="shared" si="18"/>
        <v>0</v>
      </c>
      <c r="BL21" s="58">
        <f t="shared" si="35"/>
        <v>32.000000000000114</v>
      </c>
      <c r="BM21" s="198">
        <f t="shared" si="19"/>
        <v>13</v>
      </c>
      <c r="BN21" s="203">
        <f t="shared" si="36"/>
        <v>22.27906153846154</v>
      </c>
      <c r="BO21" s="204">
        <f t="shared" si="37"/>
        <v>2.894446153846154</v>
      </c>
      <c r="BP21" s="204">
        <f t="shared" si="38"/>
        <v>18.876923076923077</v>
      </c>
      <c r="BQ21" s="204">
        <f t="shared" si="39"/>
        <v>0.5076923076923077</v>
      </c>
      <c r="BR21" s="207">
        <f t="shared" si="40"/>
        <v>47.96709230769232</v>
      </c>
      <c r="BS21" s="204">
        <f t="shared" si="41"/>
        <v>32.39016923076924</v>
      </c>
      <c r="BT21" s="204">
        <f t="shared" si="42"/>
        <v>7.6461538461538465</v>
      </c>
      <c r="BU21" s="204">
        <f t="shared" si="43"/>
        <v>5.4692307692307685</v>
      </c>
      <c r="BV21" s="204">
        <f t="shared" si="44"/>
        <v>0</v>
      </c>
      <c r="BW21" s="204">
        <f t="shared" si="45"/>
        <v>2.46153846153847</v>
      </c>
      <c r="BX21" s="208">
        <f t="shared" si="20"/>
        <v>70.24615384615386</v>
      </c>
      <c r="BY21" s="56">
        <f t="shared" si="21"/>
        <v>913.2000000000002</v>
      </c>
      <c r="BZ21" s="42">
        <f t="shared" si="22"/>
        <v>118.6</v>
      </c>
      <c r="CA21" s="57">
        <f t="shared" si="23"/>
        <v>794.6000000000001</v>
      </c>
    </row>
    <row r="22" spans="1:79" ht="15">
      <c r="A22" s="15" t="s">
        <v>17</v>
      </c>
      <c r="B22" s="58">
        <v>349.3</v>
      </c>
      <c r="C22" s="58">
        <v>0</v>
      </c>
      <c r="D22" s="58">
        <v>105.5</v>
      </c>
      <c r="E22" s="58">
        <v>0</v>
      </c>
      <c r="F22" s="58">
        <v>0</v>
      </c>
      <c r="G22" s="59">
        <v>124.6</v>
      </c>
      <c r="H22" s="58">
        <v>67.8</v>
      </c>
      <c r="I22" s="58">
        <v>28.2</v>
      </c>
      <c r="J22" s="59">
        <v>5.3</v>
      </c>
      <c r="K22" s="42">
        <v>0</v>
      </c>
      <c r="L22" s="58">
        <v>311.6</v>
      </c>
      <c r="M22" s="39">
        <f t="shared" si="24"/>
        <v>992.3</v>
      </c>
      <c r="N22" s="40">
        <f t="shared" si="25"/>
        <v>215.4</v>
      </c>
      <c r="O22" s="41">
        <f t="shared" si="26"/>
        <v>1207.7</v>
      </c>
      <c r="P22" s="15" t="s">
        <v>28</v>
      </c>
      <c r="Q22" s="13">
        <v>22</v>
      </c>
      <c r="R22" s="42">
        <v>27.4</v>
      </c>
      <c r="S22" s="42">
        <f t="shared" si="27"/>
        <v>0</v>
      </c>
      <c r="T22" s="42">
        <f t="shared" si="0"/>
        <v>8.274799999999999</v>
      </c>
      <c r="U22" s="43">
        <f t="shared" si="28"/>
        <v>35.6748</v>
      </c>
      <c r="V22" s="60">
        <f>275.6+184.1</f>
        <v>459.70000000000005</v>
      </c>
      <c r="W22" s="44">
        <v>25</v>
      </c>
      <c r="X22" s="45">
        <f t="shared" si="29"/>
        <v>484.70000000000005</v>
      </c>
      <c r="Y22" s="46">
        <v>0</v>
      </c>
      <c r="Z22" s="46">
        <v>5.9</v>
      </c>
      <c r="AA22" s="47">
        <f t="shared" si="1"/>
        <v>5.9</v>
      </c>
      <c r="AB22" s="48">
        <f t="shared" si="30"/>
        <v>526.2748</v>
      </c>
      <c r="AC22" s="46">
        <f t="shared" si="2"/>
        <v>124.6</v>
      </c>
      <c r="AD22" s="46">
        <v>0</v>
      </c>
      <c r="AE22" s="46">
        <v>0</v>
      </c>
      <c r="AF22" s="46">
        <f>5.9+12+2.5+9.4+0.8+3.1</f>
        <v>33.699999999999996</v>
      </c>
      <c r="AG22" s="44">
        <v>56.1</v>
      </c>
      <c r="AH22" s="46">
        <v>0</v>
      </c>
      <c r="AI22" s="46">
        <v>1.8</v>
      </c>
      <c r="AJ22" s="46">
        <v>0</v>
      </c>
      <c r="AK22" s="47">
        <f t="shared" si="31"/>
        <v>91.6</v>
      </c>
      <c r="AL22" s="46">
        <v>0</v>
      </c>
      <c r="AM22" s="46">
        <v>0</v>
      </c>
      <c r="AN22" s="46">
        <v>0</v>
      </c>
      <c r="AO22" s="47">
        <f t="shared" si="32"/>
        <v>0</v>
      </c>
      <c r="AP22" s="46">
        <f t="shared" si="3"/>
        <v>0</v>
      </c>
      <c r="AQ22" s="46">
        <v>0</v>
      </c>
      <c r="AR22" s="46">
        <v>0</v>
      </c>
      <c r="AS22" s="46">
        <f t="shared" si="4"/>
        <v>321.90000000000003</v>
      </c>
      <c r="AT22" s="46">
        <f t="shared" si="5"/>
        <v>97.2252</v>
      </c>
      <c r="AU22" s="47">
        <f t="shared" si="33"/>
        <v>419.12520000000006</v>
      </c>
      <c r="AV22" s="46">
        <f t="shared" si="6"/>
        <v>5.9</v>
      </c>
      <c r="AW22" s="46">
        <f t="shared" si="7"/>
        <v>5.3</v>
      </c>
      <c r="AX22" s="46">
        <v>3.6</v>
      </c>
      <c r="AY22" s="46">
        <f>29.1+2.2</f>
        <v>31.3</v>
      </c>
      <c r="AZ22" s="49">
        <f t="shared" si="8"/>
        <v>681.4251999999999</v>
      </c>
      <c r="BA22" s="50">
        <f t="shared" si="9"/>
        <v>1207.6999999999998</v>
      </c>
      <c r="BB22" s="46">
        <f t="shared" si="10"/>
        <v>0</v>
      </c>
      <c r="BC22" s="196">
        <f t="shared" si="34"/>
        <v>526.2748</v>
      </c>
      <c r="BD22" s="58">
        <f t="shared" si="11"/>
        <v>35.6748</v>
      </c>
      <c r="BE22" s="58">
        <f t="shared" si="12"/>
        <v>484.70000000000005</v>
      </c>
      <c r="BF22" s="58">
        <f t="shared" si="13"/>
        <v>5.9</v>
      </c>
      <c r="BG22" s="197">
        <f t="shared" si="14"/>
        <v>681.4251999999999</v>
      </c>
      <c r="BH22" s="58">
        <f t="shared" si="15"/>
        <v>419.12520000000006</v>
      </c>
      <c r="BI22" s="58">
        <f t="shared" si="16"/>
        <v>124.6</v>
      </c>
      <c r="BJ22" s="58">
        <f t="shared" si="17"/>
        <v>91.6</v>
      </c>
      <c r="BK22" s="58">
        <f t="shared" si="18"/>
        <v>0</v>
      </c>
      <c r="BL22" s="58">
        <f t="shared" si="35"/>
        <v>46.09999999999985</v>
      </c>
      <c r="BM22" s="198">
        <f t="shared" si="19"/>
        <v>22</v>
      </c>
      <c r="BN22" s="203">
        <f t="shared" si="36"/>
        <v>23.92158181818182</v>
      </c>
      <c r="BO22" s="204">
        <f t="shared" si="37"/>
        <v>1.621581818181818</v>
      </c>
      <c r="BP22" s="204">
        <f t="shared" si="38"/>
        <v>22.031818181818185</v>
      </c>
      <c r="BQ22" s="204">
        <f t="shared" si="39"/>
        <v>0.2681818181818182</v>
      </c>
      <c r="BR22" s="207">
        <f t="shared" si="40"/>
        <v>30.973872727272727</v>
      </c>
      <c r="BS22" s="204">
        <f t="shared" si="41"/>
        <v>19.05114545454546</v>
      </c>
      <c r="BT22" s="204">
        <f t="shared" si="42"/>
        <v>5.663636363636363</v>
      </c>
      <c r="BU22" s="204">
        <f t="shared" si="43"/>
        <v>4.163636363636363</v>
      </c>
      <c r="BV22" s="204">
        <f t="shared" si="44"/>
        <v>0</v>
      </c>
      <c r="BW22" s="204">
        <f t="shared" si="45"/>
        <v>2.0954545454545386</v>
      </c>
      <c r="BX22" s="208">
        <f t="shared" si="20"/>
        <v>54.89545454545455</v>
      </c>
      <c r="BY22" s="56">
        <f t="shared" si="21"/>
        <v>1207.7</v>
      </c>
      <c r="BZ22" s="42">
        <f t="shared" si="22"/>
        <v>215.4</v>
      </c>
      <c r="CA22" s="57">
        <f t="shared" si="23"/>
        <v>992.3000000000001</v>
      </c>
    </row>
    <row r="23" spans="1:79" ht="0" customHeight="1" hidden="1">
      <c r="A23" s="15" t="s">
        <v>18</v>
      </c>
      <c r="B23" s="58">
        <v>831</v>
      </c>
      <c r="C23" s="58">
        <v>0</v>
      </c>
      <c r="D23" s="58">
        <v>251</v>
      </c>
      <c r="E23" s="58">
        <v>28.1</v>
      </c>
      <c r="F23" s="58">
        <v>0</v>
      </c>
      <c r="G23" s="59">
        <v>498.2</v>
      </c>
      <c r="H23" s="59">
        <v>26.9</v>
      </c>
      <c r="I23" s="58">
        <v>14.9</v>
      </c>
      <c r="J23" s="59">
        <v>11</v>
      </c>
      <c r="K23" s="42">
        <v>0</v>
      </c>
      <c r="L23" s="58">
        <v>133</v>
      </c>
      <c r="M23" s="39">
        <f t="shared" si="24"/>
        <v>1794.1000000000001</v>
      </c>
      <c r="N23" s="40">
        <f t="shared" si="25"/>
        <v>0</v>
      </c>
      <c r="O23" s="41">
        <f t="shared" si="26"/>
        <v>1794.1000000000001</v>
      </c>
      <c r="P23" s="15" t="s">
        <v>27</v>
      </c>
      <c r="Q23" s="13">
        <v>0</v>
      </c>
      <c r="R23" s="42">
        <v>0</v>
      </c>
      <c r="S23" s="42">
        <f t="shared" si="27"/>
        <v>0</v>
      </c>
      <c r="T23" s="42">
        <f t="shared" si="0"/>
        <v>0</v>
      </c>
      <c r="U23" s="43">
        <f t="shared" si="28"/>
        <v>0</v>
      </c>
      <c r="V23" s="60">
        <v>133</v>
      </c>
      <c r="W23" s="44">
        <v>0</v>
      </c>
      <c r="X23" s="45">
        <f t="shared" si="29"/>
        <v>133</v>
      </c>
      <c r="Y23" s="46">
        <v>0</v>
      </c>
      <c r="Z23" s="46">
        <v>0</v>
      </c>
      <c r="AA23" s="47">
        <f t="shared" si="1"/>
        <v>0</v>
      </c>
      <c r="AB23" s="48">
        <f t="shared" si="30"/>
        <v>133</v>
      </c>
      <c r="AC23" s="46">
        <f t="shared" si="2"/>
        <v>498.2</v>
      </c>
      <c r="AD23" s="46">
        <v>0</v>
      </c>
      <c r="AE23" s="46">
        <v>0</v>
      </c>
      <c r="AF23" s="46">
        <f>12.4+12+1.4</f>
        <v>25.799999999999997</v>
      </c>
      <c r="AG23" s="44">
        <v>44.1</v>
      </c>
      <c r="AH23" s="46">
        <v>0</v>
      </c>
      <c r="AI23" s="46">
        <v>0</v>
      </c>
      <c r="AJ23" s="46">
        <v>0</v>
      </c>
      <c r="AK23" s="47">
        <f t="shared" si="31"/>
        <v>69.9</v>
      </c>
      <c r="AL23" s="46">
        <v>0</v>
      </c>
      <c r="AM23" s="46">
        <v>0</v>
      </c>
      <c r="AN23" s="46">
        <v>0</v>
      </c>
      <c r="AO23" s="47">
        <f t="shared" si="32"/>
        <v>0</v>
      </c>
      <c r="AP23" s="46">
        <f t="shared" si="3"/>
        <v>0</v>
      </c>
      <c r="AQ23" s="46">
        <v>0</v>
      </c>
      <c r="AR23" s="46">
        <v>0</v>
      </c>
      <c r="AS23" s="46">
        <f t="shared" si="4"/>
        <v>831</v>
      </c>
      <c r="AT23" s="46">
        <f t="shared" si="5"/>
        <v>251</v>
      </c>
      <c r="AU23" s="47">
        <f t="shared" si="33"/>
        <v>1082</v>
      </c>
      <c r="AV23" s="46">
        <f t="shared" si="6"/>
        <v>0</v>
      </c>
      <c r="AW23" s="46">
        <f t="shared" si="7"/>
        <v>11</v>
      </c>
      <c r="AX23" s="46">
        <v>0</v>
      </c>
      <c r="AY23" s="46">
        <v>0</v>
      </c>
      <c r="AZ23" s="49">
        <f t="shared" si="8"/>
        <v>1661.1</v>
      </c>
      <c r="BA23" s="50">
        <f t="shared" si="9"/>
        <v>1794.1</v>
      </c>
      <c r="BB23" s="46">
        <f t="shared" si="10"/>
        <v>0</v>
      </c>
      <c r="BC23" s="196">
        <f t="shared" si="34"/>
        <v>133</v>
      </c>
      <c r="BD23" s="58">
        <f t="shared" si="11"/>
        <v>0</v>
      </c>
      <c r="BE23" s="58">
        <f t="shared" si="12"/>
        <v>133</v>
      </c>
      <c r="BF23" s="58">
        <f t="shared" si="13"/>
        <v>0</v>
      </c>
      <c r="BG23" s="197">
        <f t="shared" si="14"/>
        <v>1661.1</v>
      </c>
      <c r="BH23" s="58">
        <f t="shared" si="15"/>
        <v>1082</v>
      </c>
      <c r="BI23" s="58">
        <f t="shared" si="16"/>
        <v>498.2</v>
      </c>
      <c r="BJ23" s="58">
        <f t="shared" si="17"/>
        <v>69.9</v>
      </c>
      <c r="BK23" s="58">
        <f t="shared" si="18"/>
        <v>0</v>
      </c>
      <c r="BL23" s="58">
        <f t="shared" si="35"/>
        <v>10.999999999999915</v>
      </c>
      <c r="BM23" s="198">
        <v>0</v>
      </c>
      <c r="BN23" s="203">
        <f t="shared" si="36"/>
        <v>0</v>
      </c>
      <c r="BO23" s="204"/>
      <c r="BP23" s="204"/>
      <c r="BQ23" s="204"/>
      <c r="BR23" s="207">
        <f t="shared" si="40"/>
        <v>0</v>
      </c>
      <c r="BS23" s="204"/>
      <c r="BT23" s="204"/>
      <c r="BU23" s="204"/>
      <c r="BV23" s="204"/>
      <c r="BW23" s="204"/>
      <c r="BX23" s="208">
        <f t="shared" si="20"/>
        <v>0</v>
      </c>
      <c r="BY23" s="56">
        <f t="shared" si="21"/>
        <v>0</v>
      </c>
      <c r="BZ23" s="42">
        <f t="shared" si="22"/>
        <v>0</v>
      </c>
      <c r="CA23" s="57">
        <f t="shared" si="23"/>
        <v>0</v>
      </c>
    </row>
    <row r="24" spans="1:79" ht="15">
      <c r="A24" s="15" t="s">
        <v>104</v>
      </c>
      <c r="B24" s="58">
        <v>449.3</v>
      </c>
      <c r="C24" s="58">
        <v>0</v>
      </c>
      <c r="D24" s="58">
        <v>135.7</v>
      </c>
      <c r="E24" s="58">
        <v>0</v>
      </c>
      <c r="F24" s="58">
        <v>0</v>
      </c>
      <c r="G24" s="59">
        <v>260.2</v>
      </c>
      <c r="H24" s="58">
        <v>93.8</v>
      </c>
      <c r="I24" s="58">
        <v>34.7</v>
      </c>
      <c r="J24" s="59">
        <v>1.4</v>
      </c>
      <c r="K24" s="42">
        <v>0</v>
      </c>
      <c r="L24" s="58">
        <v>222.9</v>
      </c>
      <c r="M24" s="39">
        <f t="shared" si="24"/>
        <v>1198</v>
      </c>
      <c r="N24" s="40">
        <f t="shared" si="25"/>
        <v>192.1</v>
      </c>
      <c r="O24" s="41">
        <f t="shared" si="26"/>
        <v>1390.1</v>
      </c>
      <c r="P24" s="15" t="s">
        <v>26</v>
      </c>
      <c r="Q24" s="13">
        <v>18</v>
      </c>
      <c r="R24" s="42">
        <v>27.4</v>
      </c>
      <c r="S24" s="42">
        <f t="shared" si="27"/>
        <v>0</v>
      </c>
      <c r="T24" s="42">
        <f t="shared" si="0"/>
        <v>8.274799999999999</v>
      </c>
      <c r="U24" s="43">
        <f t="shared" si="28"/>
        <v>35.6748</v>
      </c>
      <c r="V24" s="60">
        <f>211.9+164.2</f>
        <v>376.1</v>
      </c>
      <c r="W24" s="44">
        <v>0</v>
      </c>
      <c r="X24" s="45">
        <f t="shared" si="29"/>
        <v>376.1</v>
      </c>
      <c r="Y24" s="46">
        <v>0</v>
      </c>
      <c r="Z24" s="46">
        <v>7.1</v>
      </c>
      <c r="AA24" s="47">
        <f t="shared" si="1"/>
        <v>7.1</v>
      </c>
      <c r="AB24" s="48">
        <f>U24+X24+AA24</f>
        <v>418.87480000000005</v>
      </c>
      <c r="AC24" s="46">
        <f t="shared" si="2"/>
        <v>260.2</v>
      </c>
      <c r="AD24" s="46">
        <v>0</v>
      </c>
      <c r="AE24" s="46">
        <v>0</v>
      </c>
      <c r="AF24" s="46">
        <f>7.5+12+3+23.4+0.8+1.7</f>
        <v>48.4</v>
      </c>
      <c r="AG24" s="44">
        <v>70.2</v>
      </c>
      <c r="AH24" s="46">
        <v>0</v>
      </c>
      <c r="AI24" s="46">
        <f>1.3+1.8</f>
        <v>3.1</v>
      </c>
      <c r="AJ24" s="46">
        <v>0</v>
      </c>
      <c r="AK24" s="47">
        <f t="shared" si="31"/>
        <v>121.69999999999999</v>
      </c>
      <c r="AL24" s="46">
        <v>0</v>
      </c>
      <c r="AM24" s="46">
        <v>0</v>
      </c>
      <c r="AN24" s="46">
        <v>0</v>
      </c>
      <c r="AO24" s="47">
        <f t="shared" si="32"/>
        <v>0</v>
      </c>
      <c r="AP24" s="46">
        <f t="shared" si="3"/>
        <v>0</v>
      </c>
      <c r="AQ24" s="46">
        <v>0</v>
      </c>
      <c r="AR24" s="46">
        <v>0</v>
      </c>
      <c r="AS24" s="46">
        <f t="shared" si="4"/>
        <v>421.90000000000003</v>
      </c>
      <c r="AT24" s="46">
        <f t="shared" si="5"/>
        <v>127.42519999999999</v>
      </c>
      <c r="AU24" s="47">
        <f t="shared" si="33"/>
        <v>549.3252</v>
      </c>
      <c r="AV24" s="46">
        <f t="shared" si="6"/>
        <v>7.1</v>
      </c>
      <c r="AW24" s="46">
        <f t="shared" si="7"/>
        <v>1.4</v>
      </c>
      <c r="AX24" s="46">
        <v>3.6</v>
      </c>
      <c r="AY24" s="46">
        <f>26.1+1.8</f>
        <v>27.900000000000002</v>
      </c>
      <c r="AZ24" s="49">
        <f t="shared" si="8"/>
        <v>971.2252</v>
      </c>
      <c r="BA24" s="50">
        <f t="shared" si="9"/>
        <v>1390.1</v>
      </c>
      <c r="BB24" s="46">
        <f t="shared" si="10"/>
        <v>0</v>
      </c>
      <c r="BC24" s="196">
        <f t="shared" si="34"/>
        <v>418.87480000000005</v>
      </c>
      <c r="BD24" s="58">
        <f t="shared" si="11"/>
        <v>35.6748</v>
      </c>
      <c r="BE24" s="58">
        <f t="shared" si="12"/>
        <v>376.1</v>
      </c>
      <c r="BF24" s="58">
        <f t="shared" si="13"/>
        <v>7.1</v>
      </c>
      <c r="BG24" s="197">
        <f t="shared" si="14"/>
        <v>971.2252</v>
      </c>
      <c r="BH24" s="58">
        <f t="shared" si="15"/>
        <v>549.3252</v>
      </c>
      <c r="BI24" s="58">
        <f t="shared" si="16"/>
        <v>260.2</v>
      </c>
      <c r="BJ24" s="58">
        <f t="shared" si="17"/>
        <v>121.69999999999999</v>
      </c>
      <c r="BK24" s="58">
        <f t="shared" si="18"/>
        <v>0</v>
      </c>
      <c r="BL24" s="58">
        <f t="shared" si="35"/>
        <v>40</v>
      </c>
      <c r="BM24" s="198">
        <f aca="true" t="shared" si="46" ref="BM24:BM29">Q24</f>
        <v>18</v>
      </c>
      <c r="BN24" s="203">
        <f t="shared" si="36"/>
        <v>23.270822222222225</v>
      </c>
      <c r="BO24" s="204">
        <f t="shared" si="37"/>
        <v>1.981933333333333</v>
      </c>
      <c r="BP24" s="204">
        <f t="shared" si="38"/>
        <v>20.894444444444446</v>
      </c>
      <c r="BQ24" s="204">
        <f t="shared" si="39"/>
        <v>0.39444444444444443</v>
      </c>
      <c r="BR24" s="207">
        <f t="shared" si="40"/>
        <v>53.95695555555555</v>
      </c>
      <c r="BS24" s="204">
        <f t="shared" si="41"/>
        <v>30.518066666666666</v>
      </c>
      <c r="BT24" s="204">
        <f t="shared" si="42"/>
        <v>14.455555555555556</v>
      </c>
      <c r="BU24" s="204">
        <f t="shared" si="43"/>
        <v>6.76111111111111</v>
      </c>
      <c r="BV24" s="204">
        <f t="shared" si="44"/>
        <v>0</v>
      </c>
      <c r="BW24" s="204">
        <f t="shared" si="45"/>
        <v>2.2222222222222223</v>
      </c>
      <c r="BX24" s="208">
        <f t="shared" si="20"/>
        <v>77.22777777777777</v>
      </c>
      <c r="BY24" s="56">
        <f t="shared" si="21"/>
        <v>1390.1</v>
      </c>
      <c r="BZ24" s="42">
        <f t="shared" si="22"/>
        <v>192.1</v>
      </c>
      <c r="CA24" s="57">
        <f t="shared" si="23"/>
        <v>1198</v>
      </c>
    </row>
    <row r="25" spans="1:79" ht="15">
      <c r="A25" s="15" t="s">
        <v>105</v>
      </c>
      <c r="B25" s="58">
        <v>455</v>
      </c>
      <c r="C25" s="58">
        <v>0</v>
      </c>
      <c r="D25" s="58">
        <v>137.4</v>
      </c>
      <c r="E25" s="58">
        <v>0</v>
      </c>
      <c r="F25" s="58">
        <v>0</v>
      </c>
      <c r="G25" s="59">
        <v>352.8</v>
      </c>
      <c r="H25" s="58">
        <v>88.8</v>
      </c>
      <c r="I25" s="58">
        <v>39.1</v>
      </c>
      <c r="J25" s="59">
        <v>4.7</v>
      </c>
      <c r="K25" s="42">
        <v>0</v>
      </c>
      <c r="L25" s="58">
        <v>409</v>
      </c>
      <c r="M25" s="39">
        <f t="shared" si="24"/>
        <v>1486.8</v>
      </c>
      <c r="N25" s="40">
        <f t="shared" si="25"/>
        <v>336.1</v>
      </c>
      <c r="O25" s="41">
        <f t="shared" si="26"/>
        <v>1822.9</v>
      </c>
      <c r="P25" s="15" t="s">
        <v>22</v>
      </c>
      <c r="Q25" s="13">
        <v>38</v>
      </c>
      <c r="R25" s="42">
        <v>41.9</v>
      </c>
      <c r="S25" s="42">
        <f t="shared" si="27"/>
        <v>0</v>
      </c>
      <c r="T25" s="42">
        <f t="shared" si="0"/>
        <v>12.653799999999999</v>
      </c>
      <c r="U25" s="43">
        <f t="shared" si="28"/>
        <v>54.553799999999995</v>
      </c>
      <c r="V25" s="60">
        <f>387+287.3</f>
        <v>674.3</v>
      </c>
      <c r="W25" s="44">
        <v>0</v>
      </c>
      <c r="X25" s="45">
        <f t="shared" si="29"/>
        <v>674.3</v>
      </c>
      <c r="Y25" s="46">
        <v>0</v>
      </c>
      <c r="Z25" s="46">
        <v>9.5</v>
      </c>
      <c r="AA25" s="47">
        <f t="shared" si="1"/>
        <v>9.5</v>
      </c>
      <c r="AB25" s="48">
        <f t="shared" si="30"/>
        <v>738.3538</v>
      </c>
      <c r="AC25" s="46">
        <f t="shared" si="2"/>
        <v>352.8</v>
      </c>
      <c r="AD25" s="46">
        <v>0</v>
      </c>
      <c r="AE25" s="46">
        <v>0</v>
      </c>
      <c r="AF25" s="46">
        <f>9.5+12+2.3+25.8+1.2+1.7</f>
        <v>52.50000000000001</v>
      </c>
      <c r="AG25" s="44">
        <v>60.1</v>
      </c>
      <c r="AH25" s="46">
        <v>0</v>
      </c>
      <c r="AI25" s="46">
        <f>3.9+1.8</f>
        <v>5.7</v>
      </c>
      <c r="AJ25" s="46">
        <v>9</v>
      </c>
      <c r="AK25" s="47">
        <f t="shared" si="31"/>
        <v>127.30000000000001</v>
      </c>
      <c r="AL25" s="46">
        <v>0</v>
      </c>
      <c r="AM25" s="46">
        <v>0</v>
      </c>
      <c r="AN25" s="46">
        <v>0</v>
      </c>
      <c r="AO25" s="47">
        <f t="shared" si="32"/>
        <v>0</v>
      </c>
      <c r="AP25" s="46">
        <f t="shared" si="3"/>
        <v>0</v>
      </c>
      <c r="AQ25" s="46">
        <v>0</v>
      </c>
      <c r="AR25" s="46">
        <v>0</v>
      </c>
      <c r="AS25" s="46">
        <f t="shared" si="4"/>
        <v>413.1</v>
      </c>
      <c r="AT25" s="46">
        <f t="shared" si="5"/>
        <v>124.7462</v>
      </c>
      <c r="AU25" s="47">
        <f t="shared" si="33"/>
        <v>537.8462000000001</v>
      </c>
      <c r="AV25" s="46">
        <f t="shared" si="6"/>
        <v>9.5</v>
      </c>
      <c r="AW25" s="46">
        <f t="shared" si="7"/>
        <v>4.7</v>
      </c>
      <c r="AX25" s="46">
        <v>3.6</v>
      </c>
      <c r="AY25" s="46">
        <f>45.6+3.2</f>
        <v>48.800000000000004</v>
      </c>
      <c r="AZ25" s="49">
        <f t="shared" si="8"/>
        <v>1084.5462</v>
      </c>
      <c r="BA25" s="50">
        <f t="shared" si="9"/>
        <v>1822.9</v>
      </c>
      <c r="BB25" s="46">
        <f t="shared" si="10"/>
        <v>0</v>
      </c>
      <c r="BC25" s="196">
        <f t="shared" si="34"/>
        <v>738.3538</v>
      </c>
      <c r="BD25" s="58">
        <f t="shared" si="11"/>
        <v>54.553799999999995</v>
      </c>
      <c r="BE25" s="58">
        <f t="shared" si="12"/>
        <v>674.3</v>
      </c>
      <c r="BF25" s="58">
        <f t="shared" si="13"/>
        <v>9.5</v>
      </c>
      <c r="BG25" s="197">
        <f t="shared" si="14"/>
        <v>1084.5462</v>
      </c>
      <c r="BH25" s="58">
        <f t="shared" si="15"/>
        <v>537.8462000000001</v>
      </c>
      <c r="BI25" s="58">
        <f t="shared" si="16"/>
        <v>352.8</v>
      </c>
      <c r="BJ25" s="58">
        <f t="shared" si="17"/>
        <v>127.30000000000001</v>
      </c>
      <c r="BK25" s="58">
        <f t="shared" si="18"/>
        <v>0</v>
      </c>
      <c r="BL25" s="58">
        <f t="shared" si="35"/>
        <v>66.59999999999991</v>
      </c>
      <c r="BM25" s="198">
        <f t="shared" si="46"/>
        <v>38</v>
      </c>
      <c r="BN25" s="203">
        <f t="shared" si="36"/>
        <v>19.430363157894735</v>
      </c>
      <c r="BO25" s="204">
        <f t="shared" si="37"/>
        <v>1.4356263157894735</v>
      </c>
      <c r="BP25" s="204">
        <f t="shared" si="38"/>
        <v>17.74473684210526</v>
      </c>
      <c r="BQ25" s="204">
        <f t="shared" si="39"/>
        <v>0.25</v>
      </c>
      <c r="BR25" s="207">
        <f t="shared" si="40"/>
        <v>28.54068947368421</v>
      </c>
      <c r="BS25" s="204">
        <f t="shared" si="41"/>
        <v>14.153847368421054</v>
      </c>
      <c r="BT25" s="204">
        <f t="shared" si="42"/>
        <v>9.284210526315789</v>
      </c>
      <c r="BU25" s="204">
        <f t="shared" si="43"/>
        <v>3.35</v>
      </c>
      <c r="BV25" s="204">
        <f t="shared" si="44"/>
        <v>0</v>
      </c>
      <c r="BW25" s="204">
        <f t="shared" si="45"/>
        <v>1.752631578947366</v>
      </c>
      <c r="BX25" s="208">
        <f t="shared" si="20"/>
        <v>47.97105263157894</v>
      </c>
      <c r="BY25" s="56">
        <f t="shared" si="21"/>
        <v>1822.8999999999999</v>
      </c>
      <c r="BZ25" s="42">
        <f t="shared" si="22"/>
        <v>336.1</v>
      </c>
      <c r="CA25" s="57">
        <f t="shared" si="23"/>
        <v>1486.7999999999997</v>
      </c>
    </row>
    <row r="26" spans="1:79" ht="15">
      <c r="A26" s="15" t="s">
        <v>19</v>
      </c>
      <c r="B26" s="58">
        <v>385.6</v>
      </c>
      <c r="C26" s="58">
        <v>0</v>
      </c>
      <c r="D26" s="58">
        <v>116.5</v>
      </c>
      <c r="E26" s="58">
        <v>0</v>
      </c>
      <c r="F26" s="58">
        <v>5</v>
      </c>
      <c r="G26" s="59">
        <v>437.1</v>
      </c>
      <c r="H26" s="58">
        <v>107.3</v>
      </c>
      <c r="I26" s="58">
        <v>88.1</v>
      </c>
      <c r="J26" s="59">
        <v>55.6</v>
      </c>
      <c r="K26" s="42">
        <v>0</v>
      </c>
      <c r="L26" s="58">
        <v>907.6</v>
      </c>
      <c r="M26" s="39">
        <f t="shared" si="24"/>
        <v>2102.7999999999997</v>
      </c>
      <c r="N26" s="40">
        <f t="shared" si="25"/>
        <v>0</v>
      </c>
      <c r="O26" s="41">
        <f t="shared" si="26"/>
        <v>2102.7999999999997</v>
      </c>
      <c r="P26" s="15" t="s">
        <v>25</v>
      </c>
      <c r="Q26" s="13">
        <v>32</v>
      </c>
      <c r="R26" s="42">
        <v>41.9</v>
      </c>
      <c r="S26" s="42">
        <f t="shared" si="27"/>
        <v>0</v>
      </c>
      <c r="T26" s="42">
        <f t="shared" si="0"/>
        <v>12.653799999999999</v>
      </c>
      <c r="U26" s="43">
        <f t="shared" si="28"/>
        <v>54.553799999999995</v>
      </c>
      <c r="V26" s="60">
        <v>752.6</v>
      </c>
      <c r="W26" s="44">
        <v>36.3</v>
      </c>
      <c r="X26" s="45">
        <f t="shared" si="29"/>
        <v>788.9</v>
      </c>
      <c r="Y26" s="46">
        <v>0</v>
      </c>
      <c r="Z26" s="46">
        <v>12.7</v>
      </c>
      <c r="AA26" s="47">
        <f t="shared" si="1"/>
        <v>12.7</v>
      </c>
      <c r="AB26" s="48">
        <f t="shared" si="30"/>
        <v>856.1538</v>
      </c>
      <c r="AC26" s="46">
        <f t="shared" si="2"/>
        <v>437.1</v>
      </c>
      <c r="AD26" s="46">
        <v>0</v>
      </c>
      <c r="AE26" s="46">
        <v>0</v>
      </c>
      <c r="AF26" s="46">
        <f>11.1+12+3+31.8+1.2+1.7</f>
        <v>60.80000000000001</v>
      </c>
      <c r="AG26" s="44">
        <v>79.7</v>
      </c>
      <c r="AH26" s="46">
        <v>0</v>
      </c>
      <c r="AI26" s="46">
        <f>3.3+3.2</f>
        <v>6.5</v>
      </c>
      <c r="AJ26" s="46">
        <v>9</v>
      </c>
      <c r="AK26" s="47">
        <f t="shared" si="31"/>
        <v>156</v>
      </c>
      <c r="AL26" s="46">
        <v>0</v>
      </c>
      <c r="AM26" s="46">
        <v>0</v>
      </c>
      <c r="AN26" s="46">
        <v>0</v>
      </c>
      <c r="AO26" s="47">
        <f t="shared" si="32"/>
        <v>0</v>
      </c>
      <c r="AP26" s="46">
        <f t="shared" si="3"/>
        <v>5</v>
      </c>
      <c r="AQ26" s="46">
        <v>0</v>
      </c>
      <c r="AR26" s="46">
        <v>0</v>
      </c>
      <c r="AS26" s="46">
        <f t="shared" si="4"/>
        <v>343.70000000000005</v>
      </c>
      <c r="AT26" s="46">
        <f t="shared" si="5"/>
        <v>103.8462</v>
      </c>
      <c r="AU26" s="47">
        <f t="shared" si="33"/>
        <v>447.54620000000006</v>
      </c>
      <c r="AV26" s="46">
        <f t="shared" si="6"/>
        <v>12.7</v>
      </c>
      <c r="AW26" s="46">
        <f t="shared" si="7"/>
        <v>55.6</v>
      </c>
      <c r="AX26" s="46">
        <v>36</v>
      </c>
      <c r="AY26" s="46">
        <f>92.7+4</f>
        <v>96.7</v>
      </c>
      <c r="AZ26" s="49">
        <f t="shared" si="8"/>
        <v>1246.6462000000001</v>
      </c>
      <c r="BA26" s="50">
        <f t="shared" si="9"/>
        <v>2102.8</v>
      </c>
      <c r="BB26" s="46">
        <f t="shared" si="10"/>
        <v>0</v>
      </c>
      <c r="BC26" s="196">
        <f t="shared" si="34"/>
        <v>856.1538</v>
      </c>
      <c r="BD26" s="58">
        <f t="shared" si="11"/>
        <v>54.553799999999995</v>
      </c>
      <c r="BE26" s="58">
        <f t="shared" si="12"/>
        <v>788.9</v>
      </c>
      <c r="BF26" s="58">
        <f t="shared" si="13"/>
        <v>12.7</v>
      </c>
      <c r="BG26" s="197">
        <f t="shared" si="14"/>
        <v>1246.6462000000001</v>
      </c>
      <c r="BH26" s="58">
        <f t="shared" si="15"/>
        <v>447.54620000000006</v>
      </c>
      <c r="BI26" s="58">
        <f t="shared" si="16"/>
        <v>437.1</v>
      </c>
      <c r="BJ26" s="58">
        <f t="shared" si="17"/>
        <v>156</v>
      </c>
      <c r="BK26" s="58">
        <f t="shared" si="18"/>
        <v>0</v>
      </c>
      <c r="BL26" s="58">
        <f t="shared" si="35"/>
        <v>206.0000000000001</v>
      </c>
      <c r="BM26" s="198">
        <f t="shared" si="46"/>
        <v>32</v>
      </c>
      <c r="BN26" s="203">
        <f t="shared" si="36"/>
        <v>26.75480625</v>
      </c>
      <c r="BO26" s="204">
        <f t="shared" si="37"/>
        <v>1.7048062499999999</v>
      </c>
      <c r="BP26" s="204">
        <f t="shared" si="38"/>
        <v>24.653125</v>
      </c>
      <c r="BQ26" s="204">
        <f t="shared" si="39"/>
        <v>0.396875</v>
      </c>
      <c r="BR26" s="207">
        <f t="shared" si="40"/>
        <v>38.957693750000004</v>
      </c>
      <c r="BS26" s="204">
        <f t="shared" si="41"/>
        <v>13.985818750000002</v>
      </c>
      <c r="BT26" s="204">
        <f t="shared" si="42"/>
        <v>13.659375</v>
      </c>
      <c r="BU26" s="204">
        <f t="shared" si="43"/>
        <v>4.875</v>
      </c>
      <c r="BV26" s="204">
        <f t="shared" si="44"/>
        <v>0</v>
      </c>
      <c r="BW26" s="204">
        <f t="shared" si="45"/>
        <v>6.4375000000000036</v>
      </c>
      <c r="BX26" s="247">
        <f t="shared" si="20"/>
        <v>65.7125</v>
      </c>
      <c r="BY26" s="56">
        <f t="shared" si="21"/>
        <v>2102.8</v>
      </c>
      <c r="BZ26" s="42">
        <f t="shared" si="22"/>
        <v>0</v>
      </c>
      <c r="CA26" s="57">
        <f t="shared" si="23"/>
        <v>2102.8</v>
      </c>
    </row>
    <row r="27" spans="1:79" ht="15">
      <c r="A27" s="15" t="s">
        <v>20</v>
      </c>
      <c r="B27" s="58">
        <v>607.3</v>
      </c>
      <c r="C27" s="58">
        <v>0</v>
      </c>
      <c r="D27" s="58">
        <v>183.4</v>
      </c>
      <c r="E27" s="58">
        <v>0</v>
      </c>
      <c r="F27" s="58">
        <v>5</v>
      </c>
      <c r="G27" s="59">
        <v>1208.6</v>
      </c>
      <c r="H27" s="58">
        <v>141.8</v>
      </c>
      <c r="I27" s="58">
        <v>91.9</v>
      </c>
      <c r="J27" s="59">
        <v>14.2</v>
      </c>
      <c r="K27" s="42">
        <v>0</v>
      </c>
      <c r="L27" s="58">
        <v>1596.4</v>
      </c>
      <c r="M27" s="39">
        <f t="shared" si="24"/>
        <v>3848.6</v>
      </c>
      <c r="N27" s="40">
        <f t="shared" si="25"/>
        <v>1112.2</v>
      </c>
      <c r="O27" s="41">
        <f t="shared" si="26"/>
        <v>4960.8</v>
      </c>
      <c r="P27" s="15" t="s">
        <v>24</v>
      </c>
      <c r="Q27" s="13">
        <v>132</v>
      </c>
      <c r="R27" s="42">
        <v>147.7</v>
      </c>
      <c r="S27" s="42">
        <f t="shared" si="27"/>
        <v>0</v>
      </c>
      <c r="T27" s="42">
        <f t="shared" si="0"/>
        <v>44.6054</v>
      </c>
      <c r="U27" s="43">
        <f t="shared" si="28"/>
        <v>192.3054</v>
      </c>
      <c r="V27" s="60">
        <f>1391.7+950.6</f>
        <v>2342.3</v>
      </c>
      <c r="W27" s="44">
        <v>149.7</v>
      </c>
      <c r="X27" s="45">
        <f t="shared" si="29"/>
        <v>2492</v>
      </c>
      <c r="Y27" s="46">
        <v>0</v>
      </c>
      <c r="Z27" s="46">
        <v>16</v>
      </c>
      <c r="AA27" s="47">
        <f t="shared" si="1"/>
        <v>16</v>
      </c>
      <c r="AB27" s="48">
        <f t="shared" si="30"/>
        <v>2700.3054</v>
      </c>
      <c r="AC27" s="46">
        <f t="shared" si="2"/>
        <v>1208.6</v>
      </c>
      <c r="AD27" s="46">
        <v>0</v>
      </c>
      <c r="AE27" s="46">
        <v>0</v>
      </c>
      <c r="AF27" s="46">
        <f>16.7+12+5+1.8+1.7</f>
        <v>37.2</v>
      </c>
      <c r="AG27" s="44">
        <v>147.9</v>
      </c>
      <c r="AH27" s="46">
        <v>0</v>
      </c>
      <c r="AI27" s="46">
        <f>3.9+1.8</f>
        <v>5.7</v>
      </c>
      <c r="AJ27" s="46">
        <v>29.9</v>
      </c>
      <c r="AK27" s="47">
        <f t="shared" si="31"/>
        <v>220.70000000000002</v>
      </c>
      <c r="AL27" s="46">
        <v>0</v>
      </c>
      <c r="AM27" s="46">
        <v>0</v>
      </c>
      <c r="AN27" s="46">
        <v>0</v>
      </c>
      <c r="AO27" s="47">
        <f t="shared" si="32"/>
        <v>0</v>
      </c>
      <c r="AP27" s="46">
        <f t="shared" si="3"/>
        <v>5</v>
      </c>
      <c r="AQ27" s="46">
        <v>0</v>
      </c>
      <c r="AR27" s="46">
        <v>0</v>
      </c>
      <c r="AS27" s="46">
        <f t="shared" si="4"/>
        <v>459.59999999999997</v>
      </c>
      <c r="AT27" s="46">
        <f t="shared" si="5"/>
        <v>138.7946</v>
      </c>
      <c r="AU27" s="47">
        <f t="shared" si="33"/>
        <v>598.3946</v>
      </c>
      <c r="AV27" s="46">
        <f t="shared" si="6"/>
        <v>16</v>
      </c>
      <c r="AW27" s="46">
        <f t="shared" si="7"/>
        <v>14.2</v>
      </c>
      <c r="AX27" s="46">
        <v>36</v>
      </c>
      <c r="AY27" s="46">
        <f>151.5+10.1</f>
        <v>161.6</v>
      </c>
      <c r="AZ27" s="49">
        <f t="shared" si="8"/>
        <v>2260.4945999999995</v>
      </c>
      <c r="BA27" s="50">
        <f t="shared" si="9"/>
        <v>4960.799999999999</v>
      </c>
      <c r="BB27" s="46">
        <f t="shared" si="10"/>
        <v>0</v>
      </c>
      <c r="BC27" s="196">
        <f t="shared" si="34"/>
        <v>2700.3054</v>
      </c>
      <c r="BD27" s="58">
        <f t="shared" si="11"/>
        <v>192.3054</v>
      </c>
      <c r="BE27" s="58">
        <f t="shared" si="12"/>
        <v>2492</v>
      </c>
      <c r="BF27" s="58">
        <f t="shared" si="13"/>
        <v>16</v>
      </c>
      <c r="BG27" s="197">
        <f t="shared" si="14"/>
        <v>2260.4945999999995</v>
      </c>
      <c r="BH27" s="58">
        <f t="shared" si="15"/>
        <v>598.3946</v>
      </c>
      <c r="BI27" s="58">
        <f t="shared" si="16"/>
        <v>1208.6</v>
      </c>
      <c r="BJ27" s="58">
        <f t="shared" si="17"/>
        <v>220.70000000000002</v>
      </c>
      <c r="BK27" s="58">
        <f t="shared" si="18"/>
        <v>0</v>
      </c>
      <c r="BL27" s="58">
        <f t="shared" si="35"/>
        <v>232.79999999999953</v>
      </c>
      <c r="BM27" s="198">
        <f t="shared" si="46"/>
        <v>132</v>
      </c>
      <c r="BN27" s="203">
        <f t="shared" si="36"/>
        <v>20.45685909090909</v>
      </c>
      <c r="BO27" s="204">
        <f t="shared" si="37"/>
        <v>1.4568590909090908</v>
      </c>
      <c r="BP27" s="204">
        <f t="shared" si="38"/>
        <v>18.87878787878788</v>
      </c>
      <c r="BQ27" s="204">
        <f t="shared" si="39"/>
        <v>0.12121212121212122</v>
      </c>
      <c r="BR27" s="207">
        <f t="shared" si="40"/>
        <v>17.124959090909087</v>
      </c>
      <c r="BS27" s="204">
        <f t="shared" si="41"/>
        <v>4.533292424242424</v>
      </c>
      <c r="BT27" s="204">
        <f t="shared" si="42"/>
        <v>9.156060606060606</v>
      </c>
      <c r="BU27" s="204">
        <f t="shared" si="43"/>
        <v>1.671969696969697</v>
      </c>
      <c r="BV27" s="204">
        <f t="shared" si="44"/>
        <v>0</v>
      </c>
      <c r="BW27" s="204">
        <f t="shared" si="45"/>
        <v>1.7636363636363601</v>
      </c>
      <c r="BX27" s="208">
        <f t="shared" si="20"/>
        <v>37.58181818181818</v>
      </c>
      <c r="BY27" s="56">
        <f t="shared" si="21"/>
        <v>4960.799999999999</v>
      </c>
      <c r="BZ27" s="42">
        <f t="shared" si="22"/>
        <v>1112.2</v>
      </c>
      <c r="CA27" s="57">
        <f>BY27-BZ27</f>
        <v>3848.5999999999995</v>
      </c>
    </row>
    <row r="28" spans="1:79" ht="15">
      <c r="A28" s="15" t="s">
        <v>49</v>
      </c>
      <c r="B28" s="58">
        <v>814.2</v>
      </c>
      <c r="C28" s="58">
        <v>0</v>
      </c>
      <c r="D28" s="58">
        <v>246</v>
      </c>
      <c r="E28" s="58">
        <v>0</v>
      </c>
      <c r="F28" s="58">
        <v>5</v>
      </c>
      <c r="G28" s="59">
        <v>3595.6</v>
      </c>
      <c r="H28" s="58">
        <v>151.6</v>
      </c>
      <c r="I28" s="58">
        <v>130.4</v>
      </c>
      <c r="J28" s="59">
        <v>1551.7</v>
      </c>
      <c r="K28" s="42">
        <v>0</v>
      </c>
      <c r="L28" s="58">
        <v>1788.2</v>
      </c>
      <c r="M28" s="39">
        <f t="shared" si="24"/>
        <v>8282.7</v>
      </c>
      <c r="N28" s="40">
        <f t="shared" si="25"/>
        <v>1695.7</v>
      </c>
      <c r="O28" s="41">
        <f t="shared" si="26"/>
        <v>9978.400000000001</v>
      </c>
      <c r="P28" s="15" t="s">
        <v>48</v>
      </c>
      <c r="Q28" s="13">
        <v>165</v>
      </c>
      <c r="R28" s="42">
        <v>250.8</v>
      </c>
      <c r="S28" s="42">
        <f t="shared" si="27"/>
        <v>0</v>
      </c>
      <c r="T28" s="42">
        <f t="shared" si="0"/>
        <v>75.7416</v>
      </c>
      <c r="U28" s="43">
        <f t="shared" si="28"/>
        <v>326.5416</v>
      </c>
      <c r="V28" s="60">
        <f>1722.2+1449.3</f>
        <v>3171.5</v>
      </c>
      <c r="W28" s="44">
        <v>0</v>
      </c>
      <c r="X28" s="45">
        <f t="shared" si="29"/>
        <v>3171.5</v>
      </c>
      <c r="Y28" s="46">
        <v>0</v>
      </c>
      <c r="Z28" s="46">
        <v>33.3</v>
      </c>
      <c r="AA28" s="47">
        <f t="shared" si="1"/>
        <v>33.3</v>
      </c>
      <c r="AB28" s="48">
        <f t="shared" si="30"/>
        <v>3531.3416</v>
      </c>
      <c r="AC28" s="46">
        <f t="shared" si="2"/>
        <v>3595.6</v>
      </c>
      <c r="AD28" s="46">
        <v>0</v>
      </c>
      <c r="AE28" s="46">
        <v>0</v>
      </c>
      <c r="AF28" s="46">
        <f>37.8+12+5+1.8+1.7</f>
        <v>58.3</v>
      </c>
      <c r="AG28" s="44">
        <v>159.3</v>
      </c>
      <c r="AH28" s="46">
        <v>0</v>
      </c>
      <c r="AI28" s="46">
        <f>1.8</f>
        <v>1.8</v>
      </c>
      <c r="AJ28" s="46">
        <v>26</v>
      </c>
      <c r="AK28" s="47">
        <f t="shared" si="31"/>
        <v>245.40000000000003</v>
      </c>
      <c r="AL28" s="46">
        <v>0</v>
      </c>
      <c r="AM28" s="46">
        <v>0</v>
      </c>
      <c r="AN28" s="46">
        <v>0</v>
      </c>
      <c r="AO28" s="47">
        <f t="shared" si="32"/>
        <v>0</v>
      </c>
      <c r="AP28" s="46">
        <f t="shared" si="3"/>
        <v>5</v>
      </c>
      <c r="AQ28" s="46">
        <v>0</v>
      </c>
      <c r="AR28" s="46">
        <v>0</v>
      </c>
      <c r="AS28" s="46">
        <f t="shared" si="4"/>
        <v>563.4000000000001</v>
      </c>
      <c r="AT28" s="46">
        <f t="shared" si="5"/>
        <v>170.2584</v>
      </c>
      <c r="AU28" s="47">
        <f t="shared" si="33"/>
        <v>733.6584</v>
      </c>
      <c r="AV28" s="46">
        <f t="shared" si="6"/>
        <v>33.3</v>
      </c>
      <c r="AW28" s="46">
        <f t="shared" si="7"/>
        <v>1551.7</v>
      </c>
      <c r="AX28" s="46">
        <v>36</v>
      </c>
      <c r="AY28" s="46">
        <f>231.6+14.8</f>
        <v>246.4</v>
      </c>
      <c r="AZ28" s="49">
        <f t="shared" si="8"/>
        <v>6447.0584</v>
      </c>
      <c r="BA28" s="50">
        <f t="shared" si="9"/>
        <v>9978.4</v>
      </c>
      <c r="BB28" s="46">
        <f t="shared" si="10"/>
        <v>0</v>
      </c>
      <c r="BC28" s="196">
        <f t="shared" si="34"/>
        <v>3531.3416</v>
      </c>
      <c r="BD28" s="58">
        <f t="shared" si="11"/>
        <v>326.5416</v>
      </c>
      <c r="BE28" s="58">
        <f t="shared" si="12"/>
        <v>3171.5</v>
      </c>
      <c r="BF28" s="58">
        <f t="shared" si="13"/>
        <v>33.3</v>
      </c>
      <c r="BG28" s="197">
        <f t="shared" si="14"/>
        <v>6447.0584</v>
      </c>
      <c r="BH28" s="58">
        <f t="shared" si="15"/>
        <v>733.6584</v>
      </c>
      <c r="BI28" s="58">
        <f t="shared" si="16"/>
        <v>3595.6</v>
      </c>
      <c r="BJ28" s="58">
        <f t="shared" si="17"/>
        <v>245.40000000000003</v>
      </c>
      <c r="BK28" s="58">
        <f t="shared" si="18"/>
        <v>0</v>
      </c>
      <c r="BL28" s="58">
        <f t="shared" si="35"/>
        <v>1872.3999999999996</v>
      </c>
      <c r="BM28" s="198">
        <f t="shared" si="46"/>
        <v>165</v>
      </c>
      <c r="BN28" s="203">
        <f t="shared" si="36"/>
        <v>21.402070303030307</v>
      </c>
      <c r="BO28" s="204">
        <f t="shared" si="37"/>
        <v>1.9790400000000001</v>
      </c>
      <c r="BP28" s="204">
        <f t="shared" si="38"/>
        <v>19.221212121212123</v>
      </c>
      <c r="BQ28" s="204">
        <f t="shared" si="39"/>
        <v>0.2018181818181818</v>
      </c>
      <c r="BR28" s="207">
        <f t="shared" si="40"/>
        <v>39.07308121212121</v>
      </c>
      <c r="BS28" s="204">
        <f t="shared" si="41"/>
        <v>4.446414545454545</v>
      </c>
      <c r="BT28" s="204">
        <f t="shared" si="42"/>
        <v>21.79151515151515</v>
      </c>
      <c r="BU28" s="204">
        <f t="shared" si="43"/>
        <v>1.4872727272727275</v>
      </c>
      <c r="BV28" s="204">
        <f t="shared" si="44"/>
        <v>0</v>
      </c>
      <c r="BW28" s="204">
        <f t="shared" si="45"/>
        <v>11.347878787878786</v>
      </c>
      <c r="BX28" s="247">
        <f t="shared" si="20"/>
        <v>60.475151515151516</v>
      </c>
      <c r="BY28" s="56">
        <f t="shared" si="21"/>
        <v>9978.4</v>
      </c>
      <c r="BZ28" s="42">
        <f t="shared" si="22"/>
        <v>1695.7</v>
      </c>
      <c r="CA28" s="57">
        <f>BY28-BZ28</f>
        <v>8282.699999999999</v>
      </c>
    </row>
    <row r="29" spans="1:79" ht="15">
      <c r="A29" s="15" t="s">
        <v>21</v>
      </c>
      <c r="B29" s="58">
        <v>553.4</v>
      </c>
      <c r="C29" s="58">
        <v>0</v>
      </c>
      <c r="D29" s="58">
        <v>167.1</v>
      </c>
      <c r="E29" s="58">
        <v>0</v>
      </c>
      <c r="F29" s="58">
        <v>0</v>
      </c>
      <c r="G29" s="59">
        <v>1177</v>
      </c>
      <c r="H29" s="58">
        <v>86.9</v>
      </c>
      <c r="I29" s="58">
        <v>91.5</v>
      </c>
      <c r="J29" s="59">
        <v>8.2</v>
      </c>
      <c r="K29" s="42">
        <v>0</v>
      </c>
      <c r="L29" s="58">
        <v>860.2</v>
      </c>
      <c r="M29" s="39">
        <f t="shared" si="24"/>
        <v>2944.3</v>
      </c>
      <c r="N29" s="40">
        <f t="shared" si="25"/>
        <v>789</v>
      </c>
      <c r="O29" s="41">
        <f t="shared" si="26"/>
        <v>3733.3</v>
      </c>
      <c r="P29" s="15" t="s">
        <v>23</v>
      </c>
      <c r="Q29" s="13">
        <v>82</v>
      </c>
      <c r="R29" s="42">
        <v>94</v>
      </c>
      <c r="S29" s="42">
        <f t="shared" si="27"/>
        <v>0</v>
      </c>
      <c r="T29" s="42">
        <f t="shared" si="0"/>
        <v>28.387999999999998</v>
      </c>
      <c r="U29" s="43">
        <f t="shared" si="28"/>
        <v>122.388</v>
      </c>
      <c r="V29" s="60">
        <f>751.6+674.3</f>
        <v>1425.9</v>
      </c>
      <c r="W29" s="44">
        <v>64.6</v>
      </c>
      <c r="X29" s="45">
        <f t="shared" si="29"/>
        <v>1490.5</v>
      </c>
      <c r="Y29" s="46">
        <v>0</v>
      </c>
      <c r="Z29" s="46">
        <v>17</v>
      </c>
      <c r="AA29" s="47">
        <f t="shared" si="1"/>
        <v>17</v>
      </c>
      <c r="AB29" s="48">
        <f t="shared" si="30"/>
        <v>1629.888</v>
      </c>
      <c r="AC29" s="46">
        <f t="shared" si="2"/>
        <v>1177</v>
      </c>
      <c r="AD29" s="46">
        <v>0</v>
      </c>
      <c r="AE29" s="46">
        <v>0</v>
      </c>
      <c r="AF29" s="46">
        <f>4+18.3+12+1.8+1.1</f>
        <v>37.199999999999996</v>
      </c>
      <c r="AG29" s="44">
        <v>100.1</v>
      </c>
      <c r="AH29" s="46">
        <v>0</v>
      </c>
      <c r="AI29" s="46">
        <f>3.3+1.8</f>
        <v>5.1</v>
      </c>
      <c r="AJ29" s="46">
        <v>10</v>
      </c>
      <c r="AK29" s="47">
        <f t="shared" si="31"/>
        <v>152.39999999999998</v>
      </c>
      <c r="AL29" s="46">
        <v>0</v>
      </c>
      <c r="AM29" s="46">
        <v>0</v>
      </c>
      <c r="AN29" s="46">
        <v>0</v>
      </c>
      <c r="AO29" s="47">
        <f t="shared" si="32"/>
        <v>0</v>
      </c>
      <c r="AP29" s="46">
        <f t="shared" si="3"/>
        <v>0</v>
      </c>
      <c r="AQ29" s="46">
        <v>0</v>
      </c>
      <c r="AR29" s="46">
        <v>0</v>
      </c>
      <c r="AS29" s="46">
        <f t="shared" si="4"/>
        <v>459.4</v>
      </c>
      <c r="AT29" s="46">
        <f t="shared" si="5"/>
        <v>138.712</v>
      </c>
      <c r="AU29" s="47">
        <f t="shared" si="33"/>
        <v>598.112</v>
      </c>
      <c r="AV29" s="46">
        <f t="shared" si="6"/>
        <v>17</v>
      </c>
      <c r="AW29" s="46">
        <f t="shared" si="7"/>
        <v>8.2</v>
      </c>
      <c r="AX29" s="46">
        <v>36</v>
      </c>
      <c r="AY29" s="46">
        <f>107.7+7</f>
        <v>114.7</v>
      </c>
      <c r="AZ29" s="49">
        <f>AC29+AK29+AO29+AP29+AU29+AV29+AW29+AX29+AY29+AR29+AQ29</f>
        <v>2103.4120000000003</v>
      </c>
      <c r="BA29" s="50">
        <f t="shared" si="9"/>
        <v>3733.3</v>
      </c>
      <c r="BB29" s="46">
        <f t="shared" si="10"/>
        <v>0</v>
      </c>
      <c r="BC29" s="196">
        <f t="shared" si="34"/>
        <v>1629.888</v>
      </c>
      <c r="BD29" s="58">
        <f t="shared" si="11"/>
        <v>122.388</v>
      </c>
      <c r="BE29" s="58">
        <f t="shared" si="12"/>
        <v>1490.5</v>
      </c>
      <c r="BF29" s="58">
        <f t="shared" si="13"/>
        <v>17</v>
      </c>
      <c r="BG29" s="197">
        <f t="shared" si="14"/>
        <v>2103.4120000000003</v>
      </c>
      <c r="BH29" s="58">
        <f t="shared" si="15"/>
        <v>598.112</v>
      </c>
      <c r="BI29" s="58">
        <f t="shared" si="16"/>
        <v>1177</v>
      </c>
      <c r="BJ29" s="58">
        <f t="shared" si="17"/>
        <v>152.39999999999998</v>
      </c>
      <c r="BK29" s="58">
        <f t="shared" si="18"/>
        <v>0</v>
      </c>
      <c r="BL29" s="58">
        <f t="shared" si="35"/>
        <v>175.9000000000002</v>
      </c>
      <c r="BM29" s="198">
        <f t="shared" si="46"/>
        <v>82</v>
      </c>
      <c r="BN29" s="203">
        <f t="shared" si="36"/>
        <v>19.876682926829268</v>
      </c>
      <c r="BO29" s="204">
        <f t="shared" si="37"/>
        <v>1.4925365853658537</v>
      </c>
      <c r="BP29" s="204">
        <f t="shared" si="38"/>
        <v>18.176829268292682</v>
      </c>
      <c r="BQ29" s="204">
        <f t="shared" si="39"/>
        <v>0.2073170731707317</v>
      </c>
      <c r="BR29" s="207">
        <f t="shared" si="40"/>
        <v>25.65136585365854</v>
      </c>
      <c r="BS29" s="204">
        <f t="shared" si="41"/>
        <v>7.294048780487804</v>
      </c>
      <c r="BT29" s="204">
        <f t="shared" si="42"/>
        <v>14.353658536585366</v>
      </c>
      <c r="BU29" s="204">
        <f t="shared" si="43"/>
        <v>1.8585365853658533</v>
      </c>
      <c r="BV29" s="204">
        <f t="shared" si="44"/>
        <v>0</v>
      </c>
      <c r="BW29" s="204">
        <f t="shared" si="45"/>
        <v>2.1451219512195148</v>
      </c>
      <c r="BX29" s="208">
        <f t="shared" si="20"/>
        <v>45.52804878048781</v>
      </c>
      <c r="BY29" s="56">
        <f t="shared" si="21"/>
        <v>3733.3</v>
      </c>
      <c r="BZ29" s="42">
        <f t="shared" si="22"/>
        <v>789</v>
      </c>
      <c r="CA29" s="57">
        <f>BY29-BZ29</f>
        <v>2944.3</v>
      </c>
    </row>
    <row r="30" spans="1:79" ht="15">
      <c r="A30" s="61" t="s">
        <v>106</v>
      </c>
      <c r="B30" s="62">
        <f aca="true" t="shared" si="47" ref="B30:O30">SUM(B5:B29)</f>
        <v>13009.799999999997</v>
      </c>
      <c r="C30" s="62">
        <f t="shared" si="47"/>
        <v>3</v>
      </c>
      <c r="D30" s="62">
        <f t="shared" si="47"/>
        <v>3929.1</v>
      </c>
      <c r="E30" s="62">
        <f t="shared" si="47"/>
        <v>28.1</v>
      </c>
      <c r="F30" s="62">
        <f t="shared" si="47"/>
        <v>61.9</v>
      </c>
      <c r="G30" s="62">
        <f t="shared" si="47"/>
        <v>16347.400000000001</v>
      </c>
      <c r="H30" s="62">
        <f t="shared" si="47"/>
        <v>3409.6000000000013</v>
      </c>
      <c r="I30" s="62">
        <f t="shared" si="47"/>
        <v>1543.8</v>
      </c>
      <c r="J30" s="62">
        <f t="shared" si="47"/>
        <v>2457.3999999999996</v>
      </c>
      <c r="K30" s="62">
        <f t="shared" si="47"/>
        <v>0</v>
      </c>
      <c r="L30" s="62">
        <f t="shared" si="47"/>
        <v>17562.2</v>
      </c>
      <c r="M30" s="62">
        <f t="shared" si="47"/>
        <v>58352.30000000002</v>
      </c>
      <c r="N30" s="62">
        <f t="shared" si="47"/>
        <v>13508.9</v>
      </c>
      <c r="O30" s="63">
        <f t="shared" si="47"/>
        <v>71861.2</v>
      </c>
      <c r="P30" s="64" t="s">
        <v>106</v>
      </c>
      <c r="Q30" s="65">
        <f>SUM(Q5:Q29)</f>
        <v>1468</v>
      </c>
      <c r="R30" s="66">
        <f aca="true" t="shared" si="48" ref="R30:Z30">SUM(R5:R29)</f>
        <v>1916.5000000000007</v>
      </c>
      <c r="S30" s="66">
        <f t="shared" si="48"/>
        <v>3</v>
      </c>
      <c r="T30" s="66">
        <f t="shared" si="48"/>
        <v>578.7830000000002</v>
      </c>
      <c r="U30" s="66">
        <f t="shared" si="48"/>
        <v>2498.283</v>
      </c>
      <c r="V30" s="66">
        <f t="shared" si="48"/>
        <v>27871.8</v>
      </c>
      <c r="W30" s="66">
        <f t="shared" si="48"/>
        <v>435.79999999999995</v>
      </c>
      <c r="X30" s="66">
        <f t="shared" si="48"/>
        <v>28307.6</v>
      </c>
      <c r="Y30" s="66">
        <f t="shared" si="48"/>
        <v>0</v>
      </c>
      <c r="Z30" s="66">
        <f t="shared" si="48"/>
        <v>305.4</v>
      </c>
      <c r="AA30" s="66">
        <f>SUM(AA5:AA29)</f>
        <v>305.4</v>
      </c>
      <c r="AB30" s="66">
        <f>SUM(AB5:AB29)</f>
        <v>31111.283</v>
      </c>
      <c r="AC30" s="66">
        <f aca="true" t="shared" si="49" ref="AC30:BM30">SUM(AC5:AC29)</f>
        <v>16347.400000000001</v>
      </c>
      <c r="AD30" s="66">
        <f t="shared" si="49"/>
        <v>0</v>
      </c>
      <c r="AE30" s="66">
        <f t="shared" si="49"/>
        <v>0</v>
      </c>
      <c r="AF30" s="66">
        <f t="shared" si="49"/>
        <v>1106</v>
      </c>
      <c r="AG30" s="66">
        <f t="shared" si="49"/>
        <v>3151.9999999999995</v>
      </c>
      <c r="AH30" s="66">
        <f t="shared" si="49"/>
        <v>0</v>
      </c>
      <c r="AI30" s="66">
        <f t="shared" si="49"/>
        <v>100.1</v>
      </c>
      <c r="AJ30" s="66">
        <f t="shared" si="49"/>
        <v>281</v>
      </c>
      <c r="AK30" s="66">
        <f t="shared" si="49"/>
        <v>4639.1</v>
      </c>
      <c r="AL30" s="66">
        <f t="shared" si="49"/>
        <v>0</v>
      </c>
      <c r="AM30" s="66">
        <f t="shared" si="49"/>
        <v>0</v>
      </c>
      <c r="AN30" s="66">
        <f t="shared" si="49"/>
        <v>0</v>
      </c>
      <c r="AO30" s="66">
        <f t="shared" si="49"/>
        <v>0</v>
      </c>
      <c r="AP30" s="66">
        <f t="shared" si="49"/>
        <v>61.9</v>
      </c>
      <c r="AQ30" s="66">
        <f t="shared" si="49"/>
        <v>0</v>
      </c>
      <c r="AR30" s="66">
        <f t="shared" si="49"/>
        <v>0</v>
      </c>
      <c r="AS30" s="66">
        <f t="shared" si="49"/>
        <v>11093.3</v>
      </c>
      <c r="AT30" s="66">
        <f t="shared" si="49"/>
        <v>3350.3170000000005</v>
      </c>
      <c r="AU30" s="66">
        <f t="shared" si="49"/>
        <v>14443.617</v>
      </c>
      <c r="AV30" s="66">
        <f t="shared" si="49"/>
        <v>305.4</v>
      </c>
      <c r="AW30" s="66">
        <f t="shared" si="49"/>
        <v>2457.3999999999996</v>
      </c>
      <c r="AX30" s="66">
        <f t="shared" si="49"/>
        <v>435.60000000000014</v>
      </c>
      <c r="AY30" s="66">
        <f t="shared" si="49"/>
        <v>2059.5</v>
      </c>
      <c r="AZ30" s="66">
        <f t="shared" si="49"/>
        <v>40749.917</v>
      </c>
      <c r="BA30" s="66">
        <f t="shared" si="49"/>
        <v>71861.2</v>
      </c>
      <c r="BB30" s="66">
        <f t="shared" si="49"/>
        <v>0</v>
      </c>
      <c r="BC30" s="200">
        <f t="shared" si="49"/>
        <v>31111.283</v>
      </c>
      <c r="BD30" s="200">
        <f t="shared" si="49"/>
        <v>2498.283</v>
      </c>
      <c r="BE30" s="200">
        <f t="shared" si="49"/>
        <v>28307.6</v>
      </c>
      <c r="BF30" s="200">
        <f t="shared" si="49"/>
        <v>305.4</v>
      </c>
      <c r="BG30" s="200">
        <f t="shared" si="49"/>
        <v>40749.917</v>
      </c>
      <c r="BH30" s="200">
        <f t="shared" si="49"/>
        <v>14443.617</v>
      </c>
      <c r="BI30" s="200">
        <f t="shared" si="49"/>
        <v>16347.400000000001</v>
      </c>
      <c r="BJ30" s="200">
        <f t="shared" si="49"/>
        <v>4639.1</v>
      </c>
      <c r="BK30" s="200">
        <f t="shared" si="49"/>
        <v>0</v>
      </c>
      <c r="BL30" s="200">
        <f t="shared" si="49"/>
        <v>5319.8</v>
      </c>
      <c r="BM30" s="201">
        <f t="shared" si="49"/>
        <v>1468</v>
      </c>
      <c r="BN30" s="205">
        <f t="shared" si="36"/>
        <v>21.192972070844686</v>
      </c>
      <c r="BO30" s="206">
        <f t="shared" si="37"/>
        <v>1.7018276566757493</v>
      </c>
      <c r="BP30" s="206">
        <f t="shared" si="38"/>
        <v>19.28310626702997</v>
      </c>
      <c r="BQ30" s="206">
        <f t="shared" si="39"/>
        <v>0.20803814713896457</v>
      </c>
      <c r="BR30" s="205">
        <f t="shared" si="40"/>
        <v>27.758799046321528</v>
      </c>
      <c r="BS30" s="206">
        <f t="shared" si="41"/>
        <v>9.838976158038147</v>
      </c>
      <c r="BT30" s="206">
        <f t="shared" si="42"/>
        <v>11.1358310626703</v>
      </c>
      <c r="BU30" s="206">
        <f t="shared" si="43"/>
        <v>3.160149863760218</v>
      </c>
      <c r="BV30" s="206">
        <f t="shared" si="44"/>
        <v>0</v>
      </c>
      <c r="BW30" s="206">
        <f t="shared" si="45"/>
        <v>3.623841961852861</v>
      </c>
      <c r="BX30" s="208">
        <f t="shared" si="20"/>
        <v>48.95177111716622</v>
      </c>
      <c r="BY30" s="56">
        <f t="shared" si="21"/>
        <v>71861.20000000001</v>
      </c>
      <c r="BZ30" s="56">
        <f>SUM(BZ5:BZ29)</f>
        <v>13508.9</v>
      </c>
      <c r="CA30" s="56">
        <f>SUM(CA5:CA29)</f>
        <v>56558.200000000004</v>
      </c>
    </row>
    <row r="31" spans="13:79" ht="15" hidden="1">
      <c r="M31" s="68">
        <v>58352.3</v>
      </c>
      <c r="N31" s="68"/>
      <c r="O31" s="68"/>
      <c r="R31" s="69"/>
      <c r="S31" s="69"/>
      <c r="T31" s="69"/>
      <c r="U31" s="69"/>
      <c r="V31" s="69"/>
      <c r="W31" s="69"/>
      <c r="X31" s="69"/>
      <c r="BC31" s="58">
        <f>BC30-BC23</f>
        <v>30978.283</v>
      </c>
      <c r="BD31" s="58">
        <f aca="true" t="shared" si="50" ref="BD31:BL31">BD30-BD23</f>
        <v>2498.283</v>
      </c>
      <c r="BE31" s="58">
        <f t="shared" si="50"/>
        <v>28174.6</v>
      </c>
      <c r="BF31" s="58">
        <f t="shared" si="50"/>
        <v>305.4</v>
      </c>
      <c r="BG31" s="58">
        <f t="shared" si="50"/>
        <v>39088.817</v>
      </c>
      <c r="BH31" s="58">
        <f t="shared" si="50"/>
        <v>13361.617</v>
      </c>
      <c r="BI31" s="58">
        <f t="shared" si="50"/>
        <v>15849.2</v>
      </c>
      <c r="BJ31" s="58">
        <f t="shared" si="50"/>
        <v>4569.200000000001</v>
      </c>
      <c r="BK31" s="58">
        <f t="shared" si="50"/>
        <v>0</v>
      </c>
      <c r="BL31" s="58">
        <f t="shared" si="50"/>
        <v>5308.8</v>
      </c>
      <c r="BM31" s="6">
        <v>1468</v>
      </c>
      <c r="BN31" s="196">
        <f t="shared" si="36"/>
        <v>21.102372615803816</v>
      </c>
      <c r="BO31" s="202">
        <f t="shared" si="37"/>
        <v>1.7018276566757493</v>
      </c>
      <c r="BP31" s="202">
        <f t="shared" si="38"/>
        <v>19.1925068119891</v>
      </c>
      <c r="BQ31" s="202">
        <f t="shared" si="39"/>
        <v>0.20803814713896457</v>
      </c>
      <c r="BR31" s="199">
        <f t="shared" si="40"/>
        <v>26.62725953678474</v>
      </c>
      <c r="BS31" s="197">
        <f t="shared" si="41"/>
        <v>9.1019189373297</v>
      </c>
      <c r="BT31" s="197">
        <f t="shared" si="42"/>
        <v>10.796457765667576</v>
      </c>
      <c r="BU31" s="197">
        <f t="shared" si="43"/>
        <v>3.1125340599455047</v>
      </c>
      <c r="BV31" s="197">
        <f t="shared" si="44"/>
        <v>0</v>
      </c>
      <c r="BW31" s="197">
        <f t="shared" si="45"/>
        <v>3.616348773841962</v>
      </c>
      <c r="BX31" s="55">
        <f t="shared" si="20"/>
        <v>47.72963215258856</v>
      </c>
      <c r="BY31" s="56">
        <f t="shared" si="21"/>
        <v>70067.1</v>
      </c>
      <c r="BZ31" s="56"/>
      <c r="CA31" s="57"/>
    </row>
    <row r="32" ht="15">
      <c r="CF32" s="6">
        <f>((BX28*Q28)+(Q26*BX26)+(BX5*Q5)+(BX6*Q6)+(Q7*BX7)+(BX8*Q8)+(Q9*BX9))/746</f>
        <v>46.07747989276139</v>
      </c>
    </row>
    <row r="33" spans="16:73" ht="15">
      <c r="P33" s="6" t="s">
        <v>248</v>
      </c>
      <c r="Q33" s="6">
        <f>Q28+Q26+Q9+Q8+Q7+Q6+Q5</f>
        <v>746</v>
      </c>
      <c r="BS33" s="248">
        <f>(BS5+BS6+BS7+BS8+BS9+BS26+BS28)/7</f>
        <v>6.737808552940992</v>
      </c>
      <c r="BU33" s="249">
        <f>BU30+BW30</f>
        <v>6.783991825613079</v>
      </c>
    </row>
    <row r="34" spans="16:17" ht="15">
      <c r="P34" s="6" t="s">
        <v>249</v>
      </c>
      <c r="Q34" s="246">
        <f>Q30-Q33</f>
        <v>722</v>
      </c>
    </row>
    <row r="36" spans="1:4" ht="15">
      <c r="A36" s="70" t="s">
        <v>107</v>
      </c>
      <c r="C36" s="71"/>
      <c r="D36" s="71"/>
    </row>
    <row r="37" spans="1:19" ht="15">
      <c r="A37" s="21" t="s">
        <v>74</v>
      </c>
      <c r="B37" s="21">
        <v>211</v>
      </c>
      <c r="C37" s="21">
        <v>212</v>
      </c>
      <c r="D37" s="21">
        <v>213</v>
      </c>
      <c r="E37" s="21">
        <v>221</v>
      </c>
      <c r="F37" s="21">
        <v>222</v>
      </c>
      <c r="G37" s="21">
        <v>223</v>
      </c>
      <c r="H37" s="21">
        <v>225</v>
      </c>
      <c r="I37" s="21">
        <v>226</v>
      </c>
      <c r="J37" s="21">
        <v>290</v>
      </c>
      <c r="K37" s="21">
        <v>310</v>
      </c>
      <c r="L37" s="22">
        <v>340</v>
      </c>
      <c r="M37" s="21" t="s">
        <v>108</v>
      </c>
      <c r="N37" s="72"/>
      <c r="O37" s="72"/>
      <c r="Q37" s="15" t="s">
        <v>109</v>
      </c>
      <c r="R37" s="15" t="s">
        <v>72</v>
      </c>
      <c r="S37" s="73"/>
    </row>
    <row r="38" spans="1:19" ht="15">
      <c r="A38" s="15" t="s">
        <v>101</v>
      </c>
      <c r="B38" s="58"/>
      <c r="C38" s="58"/>
      <c r="D38" s="58"/>
      <c r="E38" s="58"/>
      <c r="F38" s="58"/>
      <c r="G38" s="58"/>
      <c r="H38" s="59"/>
      <c r="I38" s="58"/>
      <c r="J38" s="42"/>
      <c r="K38" s="42"/>
      <c r="L38" s="42">
        <v>662.5</v>
      </c>
      <c r="M38" s="74">
        <f>SUM(B38:L38)</f>
        <v>662.5</v>
      </c>
      <c r="N38" s="74"/>
      <c r="O38" s="74"/>
      <c r="P38" s="15" t="s">
        <v>101</v>
      </c>
      <c r="Q38" s="75" t="e">
        <f>M5+#REF!+#REF!</f>
        <v>#REF!</v>
      </c>
      <c r="R38" s="46" t="e">
        <f>L38+Q38</f>
        <v>#REF!</v>
      </c>
      <c r="S38" s="76"/>
    </row>
    <row r="39" spans="1:19" ht="15">
      <c r="A39" s="15" t="s">
        <v>3</v>
      </c>
      <c r="B39" s="58"/>
      <c r="C39" s="58"/>
      <c r="D39" s="58"/>
      <c r="E39" s="58"/>
      <c r="F39" s="58"/>
      <c r="G39" s="58"/>
      <c r="H39" s="58"/>
      <c r="I39" s="58"/>
      <c r="J39" s="42"/>
      <c r="K39" s="42"/>
      <c r="L39" s="42">
        <v>786</v>
      </c>
      <c r="M39" s="74">
        <f aca="true" t="shared" si="51" ref="M39:M62">SUM(B39:L39)</f>
        <v>786</v>
      </c>
      <c r="N39" s="74"/>
      <c r="O39" s="74"/>
      <c r="P39" s="15" t="s">
        <v>3</v>
      </c>
      <c r="Q39" s="75" t="e">
        <f>M6+#REF!+#REF!</f>
        <v>#REF!</v>
      </c>
      <c r="R39" s="46" t="e">
        <f aca="true" t="shared" si="52" ref="R39:R62">L39+Q39</f>
        <v>#REF!</v>
      </c>
      <c r="S39" s="76"/>
    </row>
    <row r="40" spans="1:19" ht="15">
      <c r="A40" s="15" t="s">
        <v>4</v>
      </c>
      <c r="B40" s="58"/>
      <c r="C40" s="58"/>
      <c r="D40" s="58"/>
      <c r="E40" s="58"/>
      <c r="F40" s="58"/>
      <c r="G40" s="58"/>
      <c r="H40" s="58"/>
      <c r="I40" s="58"/>
      <c r="J40" s="42"/>
      <c r="K40" s="42"/>
      <c r="L40" s="42">
        <v>1430.2</v>
      </c>
      <c r="M40" s="74">
        <f t="shared" si="51"/>
        <v>1430.2</v>
      </c>
      <c r="N40" s="74"/>
      <c r="O40" s="74"/>
      <c r="P40" s="15" t="s">
        <v>4</v>
      </c>
      <c r="Q40" s="75" t="e">
        <f>M7+#REF!+#REF!</f>
        <v>#REF!</v>
      </c>
      <c r="R40" s="46" t="e">
        <f t="shared" si="52"/>
        <v>#REF!</v>
      </c>
      <c r="S40" s="76"/>
    </row>
    <row r="41" spans="1:19" ht="15">
      <c r="A41" s="15" t="s">
        <v>5</v>
      </c>
      <c r="B41" s="58"/>
      <c r="C41" s="58"/>
      <c r="D41" s="58"/>
      <c r="E41" s="58"/>
      <c r="F41" s="58"/>
      <c r="G41" s="58"/>
      <c r="H41" s="58"/>
      <c r="I41" s="58"/>
      <c r="J41" s="42"/>
      <c r="K41" s="42"/>
      <c r="L41" s="42">
        <v>984.6</v>
      </c>
      <c r="M41" s="74">
        <f t="shared" si="51"/>
        <v>984.6</v>
      </c>
      <c r="N41" s="74"/>
      <c r="O41" s="74"/>
      <c r="P41" s="15" t="s">
        <v>5</v>
      </c>
      <c r="Q41" s="75" t="e">
        <f>M8+#REF!+#REF!</f>
        <v>#REF!</v>
      </c>
      <c r="R41" s="46" t="e">
        <f t="shared" si="52"/>
        <v>#REF!</v>
      </c>
      <c r="S41" s="76"/>
    </row>
    <row r="42" spans="1:19" ht="15">
      <c r="A42" s="15" t="s">
        <v>6</v>
      </c>
      <c r="B42" s="58"/>
      <c r="C42" s="58"/>
      <c r="D42" s="58"/>
      <c r="E42" s="58"/>
      <c r="F42" s="58"/>
      <c r="G42" s="58"/>
      <c r="H42" s="58"/>
      <c r="I42" s="58"/>
      <c r="J42" s="42"/>
      <c r="K42" s="42"/>
      <c r="L42" s="42">
        <v>1181.5</v>
      </c>
      <c r="M42" s="74">
        <f t="shared" si="51"/>
        <v>1181.5</v>
      </c>
      <c r="N42" s="74"/>
      <c r="O42" s="74"/>
      <c r="P42" s="15" t="s">
        <v>6</v>
      </c>
      <c r="Q42" s="75" t="e">
        <f>M9+#REF!+#REF!</f>
        <v>#REF!</v>
      </c>
      <c r="R42" s="46" t="e">
        <f t="shared" si="52"/>
        <v>#REF!</v>
      </c>
      <c r="S42" s="76"/>
    </row>
    <row r="43" spans="1:19" ht="15">
      <c r="A43" s="25" t="s">
        <v>7</v>
      </c>
      <c r="B43" s="58"/>
      <c r="C43" s="58"/>
      <c r="D43" s="58"/>
      <c r="E43" s="58"/>
      <c r="F43" s="58"/>
      <c r="G43" s="58"/>
      <c r="H43" s="58"/>
      <c r="I43" s="58"/>
      <c r="J43" s="42"/>
      <c r="K43" s="42"/>
      <c r="L43" s="42">
        <v>617.9</v>
      </c>
      <c r="M43" s="74">
        <f t="shared" si="51"/>
        <v>617.9</v>
      </c>
      <c r="N43" s="74"/>
      <c r="O43" s="74"/>
      <c r="P43" s="25" t="s">
        <v>7</v>
      </c>
      <c r="Q43" s="75" t="e">
        <f>M10+#REF!+#REF!</f>
        <v>#REF!</v>
      </c>
      <c r="R43" s="46" t="e">
        <f t="shared" si="52"/>
        <v>#REF!</v>
      </c>
      <c r="S43" s="76"/>
    </row>
    <row r="44" spans="1:19" ht="15">
      <c r="A44" s="15" t="s">
        <v>8</v>
      </c>
      <c r="B44" s="58"/>
      <c r="C44" s="58"/>
      <c r="D44" s="58"/>
      <c r="E44" s="58"/>
      <c r="F44" s="58"/>
      <c r="G44" s="58"/>
      <c r="H44" s="58"/>
      <c r="I44" s="58"/>
      <c r="J44" s="42"/>
      <c r="K44" s="42"/>
      <c r="L44" s="42">
        <v>936.4</v>
      </c>
      <c r="M44" s="74">
        <f t="shared" si="51"/>
        <v>936.4</v>
      </c>
      <c r="N44" s="74"/>
      <c r="O44" s="74"/>
      <c r="P44" s="15" t="s">
        <v>8</v>
      </c>
      <c r="Q44" s="75" t="e">
        <f>M11+#REF!+#REF!</f>
        <v>#REF!</v>
      </c>
      <c r="R44" s="46" t="e">
        <f t="shared" si="52"/>
        <v>#REF!</v>
      </c>
      <c r="S44" s="76"/>
    </row>
    <row r="45" spans="1:19" ht="15">
      <c r="A45" s="15" t="s">
        <v>102</v>
      </c>
      <c r="B45" s="58"/>
      <c r="C45" s="58"/>
      <c r="D45" s="58"/>
      <c r="E45" s="58"/>
      <c r="F45" s="58"/>
      <c r="G45" s="58"/>
      <c r="H45" s="58"/>
      <c r="I45" s="58"/>
      <c r="J45" s="42"/>
      <c r="K45" s="42"/>
      <c r="L45" s="42">
        <v>485.2</v>
      </c>
      <c r="M45" s="74">
        <f t="shared" si="51"/>
        <v>485.2</v>
      </c>
      <c r="N45" s="74"/>
      <c r="O45" s="74"/>
      <c r="P45" s="15" t="s">
        <v>102</v>
      </c>
      <c r="Q45" s="75" t="e">
        <f>M12+#REF!+#REF!</f>
        <v>#REF!</v>
      </c>
      <c r="R45" s="46" t="e">
        <f t="shared" si="52"/>
        <v>#REF!</v>
      </c>
      <c r="S45" s="76"/>
    </row>
    <row r="46" spans="1:19" ht="15">
      <c r="A46" s="15" t="s">
        <v>9</v>
      </c>
      <c r="B46" s="58"/>
      <c r="C46" s="58"/>
      <c r="D46" s="58"/>
      <c r="E46" s="58"/>
      <c r="F46" s="58"/>
      <c r="G46" s="58"/>
      <c r="H46" s="59"/>
      <c r="I46" s="58"/>
      <c r="J46" s="42"/>
      <c r="K46" s="42"/>
      <c r="L46" s="42">
        <v>226.5</v>
      </c>
      <c r="M46" s="74">
        <f t="shared" si="51"/>
        <v>226.5</v>
      </c>
      <c r="N46" s="74"/>
      <c r="O46" s="74"/>
      <c r="P46" s="15" t="s">
        <v>9</v>
      </c>
      <c r="Q46" s="75" t="e">
        <f>M13+#REF!+#REF!</f>
        <v>#REF!</v>
      </c>
      <c r="R46" s="46" t="e">
        <f t="shared" si="52"/>
        <v>#REF!</v>
      </c>
      <c r="S46" s="76"/>
    </row>
    <row r="47" spans="1:19" ht="15">
      <c r="A47" s="15" t="s">
        <v>10</v>
      </c>
      <c r="B47" s="58"/>
      <c r="C47" s="58"/>
      <c r="D47" s="58"/>
      <c r="E47" s="58"/>
      <c r="F47" s="58"/>
      <c r="G47" s="58"/>
      <c r="H47" s="58"/>
      <c r="I47" s="58"/>
      <c r="J47" s="42"/>
      <c r="K47" s="42"/>
      <c r="L47" s="42">
        <v>361.4</v>
      </c>
      <c r="M47" s="74">
        <f t="shared" si="51"/>
        <v>361.4</v>
      </c>
      <c r="N47" s="74"/>
      <c r="O47" s="74"/>
      <c r="P47" s="15" t="s">
        <v>10</v>
      </c>
      <c r="Q47" s="75" t="e">
        <f>M14+#REF!+#REF!</f>
        <v>#REF!</v>
      </c>
      <c r="R47" s="46" t="e">
        <f t="shared" si="52"/>
        <v>#REF!</v>
      </c>
      <c r="S47" s="76"/>
    </row>
    <row r="48" spans="1:19" ht="15">
      <c r="A48" s="15" t="s">
        <v>11</v>
      </c>
      <c r="B48" s="58"/>
      <c r="C48" s="58"/>
      <c r="D48" s="58"/>
      <c r="E48" s="58"/>
      <c r="F48" s="58"/>
      <c r="G48" s="58"/>
      <c r="H48" s="58"/>
      <c r="I48" s="58"/>
      <c r="J48" s="42"/>
      <c r="K48" s="42"/>
      <c r="L48" s="42">
        <v>217</v>
      </c>
      <c r="M48" s="74">
        <f t="shared" si="51"/>
        <v>217</v>
      </c>
      <c r="N48" s="74"/>
      <c r="O48" s="74"/>
      <c r="P48" s="15" t="s">
        <v>11</v>
      </c>
      <c r="Q48" s="75" t="e">
        <f>M15+#REF!+#REF!</f>
        <v>#REF!</v>
      </c>
      <c r="R48" s="46" t="e">
        <f t="shared" si="52"/>
        <v>#REF!</v>
      </c>
      <c r="S48" s="76"/>
    </row>
    <row r="49" spans="1:19" ht="15">
      <c r="A49" s="15" t="s">
        <v>12</v>
      </c>
      <c r="B49" s="58"/>
      <c r="C49" s="58"/>
      <c r="D49" s="58"/>
      <c r="E49" s="58"/>
      <c r="F49" s="58"/>
      <c r="G49" s="58"/>
      <c r="H49" s="58"/>
      <c r="I49" s="58"/>
      <c r="J49" s="42"/>
      <c r="K49" s="42"/>
      <c r="L49" s="42">
        <v>216.2</v>
      </c>
      <c r="M49" s="74">
        <f t="shared" si="51"/>
        <v>216.2</v>
      </c>
      <c r="N49" s="74"/>
      <c r="O49" s="74"/>
      <c r="P49" s="15" t="s">
        <v>12</v>
      </c>
      <c r="Q49" s="75" t="e">
        <f>M16+#REF!+#REF!</f>
        <v>#REF!</v>
      </c>
      <c r="R49" s="46" t="e">
        <f t="shared" si="52"/>
        <v>#REF!</v>
      </c>
      <c r="S49" s="76"/>
    </row>
    <row r="50" spans="1:19" ht="15">
      <c r="A50" s="15" t="s">
        <v>13</v>
      </c>
      <c r="B50" s="58"/>
      <c r="C50" s="58"/>
      <c r="D50" s="58"/>
      <c r="E50" s="58"/>
      <c r="F50" s="58"/>
      <c r="G50" s="58"/>
      <c r="H50" s="58"/>
      <c r="I50" s="58"/>
      <c r="J50" s="42"/>
      <c r="K50" s="42"/>
      <c r="L50" s="42">
        <v>257.1</v>
      </c>
      <c r="M50" s="74">
        <f t="shared" si="51"/>
        <v>257.1</v>
      </c>
      <c r="N50" s="74"/>
      <c r="O50" s="74"/>
      <c r="P50" s="15" t="s">
        <v>13</v>
      </c>
      <c r="Q50" s="75" t="e">
        <f>M17+#REF!+#REF!</f>
        <v>#REF!</v>
      </c>
      <c r="R50" s="46" t="e">
        <f t="shared" si="52"/>
        <v>#REF!</v>
      </c>
      <c r="S50" s="76"/>
    </row>
    <row r="51" spans="1:19" ht="15">
      <c r="A51" s="15" t="s">
        <v>103</v>
      </c>
      <c r="B51" s="58"/>
      <c r="C51" s="58"/>
      <c r="D51" s="58"/>
      <c r="E51" s="58"/>
      <c r="F51" s="58"/>
      <c r="G51" s="58"/>
      <c r="H51" s="58"/>
      <c r="I51" s="58"/>
      <c r="J51" s="42"/>
      <c r="K51" s="42"/>
      <c r="L51" s="42">
        <v>187.9</v>
      </c>
      <c r="M51" s="74">
        <f t="shared" si="51"/>
        <v>187.9</v>
      </c>
      <c r="N51" s="74"/>
      <c r="O51" s="74"/>
      <c r="P51" s="15" t="s">
        <v>103</v>
      </c>
      <c r="Q51" s="75" t="e">
        <f>M18+#REF!+#REF!</f>
        <v>#REF!</v>
      </c>
      <c r="R51" s="46" t="e">
        <f t="shared" si="52"/>
        <v>#REF!</v>
      </c>
      <c r="S51" s="76"/>
    </row>
    <row r="52" spans="1:19" ht="15">
      <c r="A52" s="15" t="s">
        <v>14</v>
      </c>
      <c r="B52" s="58"/>
      <c r="C52" s="58"/>
      <c r="D52" s="58"/>
      <c r="E52" s="58"/>
      <c r="F52" s="58"/>
      <c r="G52" s="58"/>
      <c r="H52" s="58"/>
      <c r="I52" s="58"/>
      <c r="J52" s="42"/>
      <c r="K52" s="42"/>
      <c r="L52" s="42">
        <v>202.6</v>
      </c>
      <c r="M52" s="74">
        <f t="shared" si="51"/>
        <v>202.6</v>
      </c>
      <c r="N52" s="74"/>
      <c r="O52" s="74"/>
      <c r="P52" s="15" t="s">
        <v>14</v>
      </c>
      <c r="Q52" s="75" t="e">
        <f>M19+#REF!+#REF!</f>
        <v>#REF!</v>
      </c>
      <c r="R52" s="46" t="e">
        <f t="shared" si="52"/>
        <v>#REF!</v>
      </c>
      <c r="S52" s="76"/>
    </row>
    <row r="53" spans="1:19" ht="15">
      <c r="A53" s="15" t="s">
        <v>15</v>
      </c>
      <c r="B53" s="58"/>
      <c r="C53" s="58"/>
      <c r="D53" s="58"/>
      <c r="E53" s="58"/>
      <c r="F53" s="58"/>
      <c r="G53" s="58"/>
      <c r="H53" s="58"/>
      <c r="I53" s="58"/>
      <c r="J53" s="42"/>
      <c r="K53" s="42"/>
      <c r="L53" s="42">
        <v>296.8</v>
      </c>
      <c r="M53" s="74">
        <f t="shared" si="51"/>
        <v>296.8</v>
      </c>
      <c r="N53" s="74"/>
      <c r="O53" s="74"/>
      <c r="P53" s="15" t="s">
        <v>15</v>
      </c>
      <c r="Q53" s="75" t="e">
        <f>M20+#REF!+#REF!</f>
        <v>#REF!</v>
      </c>
      <c r="R53" s="46" t="e">
        <f t="shared" si="52"/>
        <v>#REF!</v>
      </c>
      <c r="S53" s="76"/>
    </row>
    <row r="54" spans="1:19" ht="15">
      <c r="A54" s="15" t="s">
        <v>16</v>
      </c>
      <c r="B54" s="58"/>
      <c r="C54" s="58"/>
      <c r="D54" s="58"/>
      <c r="E54" s="58"/>
      <c r="F54" s="58"/>
      <c r="G54" s="58"/>
      <c r="H54" s="58"/>
      <c r="I54" s="58"/>
      <c r="J54" s="42"/>
      <c r="K54" s="42"/>
      <c r="L54" s="42">
        <v>118.6</v>
      </c>
      <c r="M54" s="74">
        <f t="shared" si="51"/>
        <v>118.6</v>
      </c>
      <c r="N54" s="74"/>
      <c r="O54" s="74"/>
      <c r="P54" s="15" t="s">
        <v>16</v>
      </c>
      <c r="Q54" s="75" t="e">
        <f>M21+#REF!+#REF!</f>
        <v>#REF!</v>
      </c>
      <c r="R54" s="46" t="e">
        <f t="shared" si="52"/>
        <v>#REF!</v>
      </c>
      <c r="S54" s="76"/>
    </row>
    <row r="55" spans="1:19" ht="15">
      <c r="A55" s="15" t="s">
        <v>17</v>
      </c>
      <c r="B55" s="58"/>
      <c r="C55" s="58"/>
      <c r="D55" s="58"/>
      <c r="E55" s="58"/>
      <c r="F55" s="58"/>
      <c r="G55" s="58"/>
      <c r="H55" s="58"/>
      <c r="I55" s="58"/>
      <c r="J55" s="42"/>
      <c r="K55" s="42"/>
      <c r="L55" s="42">
        <v>215.4</v>
      </c>
      <c r="M55" s="74">
        <f t="shared" si="51"/>
        <v>215.4</v>
      </c>
      <c r="N55" s="74"/>
      <c r="O55" s="74"/>
      <c r="P55" s="15" t="s">
        <v>17</v>
      </c>
      <c r="Q55" s="75" t="e">
        <f>M22+#REF!+#REF!</f>
        <v>#REF!</v>
      </c>
      <c r="R55" s="46" t="e">
        <f t="shared" si="52"/>
        <v>#REF!</v>
      </c>
      <c r="S55" s="76"/>
    </row>
    <row r="56" spans="1:19" ht="15">
      <c r="A56" s="15" t="s">
        <v>18</v>
      </c>
      <c r="B56" s="58"/>
      <c r="C56" s="58"/>
      <c r="D56" s="58"/>
      <c r="E56" s="58"/>
      <c r="F56" s="58"/>
      <c r="G56" s="58"/>
      <c r="H56" s="59"/>
      <c r="I56" s="58"/>
      <c r="J56" s="42"/>
      <c r="K56" s="42"/>
      <c r="L56" s="42">
        <v>0</v>
      </c>
      <c r="M56" s="74">
        <f t="shared" si="51"/>
        <v>0</v>
      </c>
      <c r="N56" s="74"/>
      <c r="O56" s="74"/>
      <c r="P56" s="15" t="s">
        <v>18</v>
      </c>
      <c r="Q56" s="75" t="e">
        <f>M23+#REF!+#REF!</f>
        <v>#REF!</v>
      </c>
      <c r="R56" s="46" t="e">
        <f t="shared" si="52"/>
        <v>#REF!</v>
      </c>
      <c r="S56" s="76"/>
    </row>
    <row r="57" spans="1:19" ht="15">
      <c r="A57" s="15" t="s">
        <v>104</v>
      </c>
      <c r="B57" s="58"/>
      <c r="C57" s="58"/>
      <c r="D57" s="58"/>
      <c r="E57" s="58"/>
      <c r="F57" s="58"/>
      <c r="G57" s="58"/>
      <c r="H57" s="58"/>
      <c r="I57" s="58"/>
      <c r="J57" s="42"/>
      <c r="K57" s="42"/>
      <c r="L57" s="42">
        <v>192.1</v>
      </c>
      <c r="M57" s="74">
        <f t="shared" si="51"/>
        <v>192.1</v>
      </c>
      <c r="N57" s="74"/>
      <c r="O57" s="74"/>
      <c r="P57" s="15" t="s">
        <v>104</v>
      </c>
      <c r="Q57" s="75" t="e">
        <f>M24+#REF!+#REF!</f>
        <v>#REF!</v>
      </c>
      <c r="R57" s="46" t="e">
        <f t="shared" si="52"/>
        <v>#REF!</v>
      </c>
      <c r="S57" s="76"/>
    </row>
    <row r="58" spans="1:19" ht="15">
      <c r="A58" s="15" t="s">
        <v>105</v>
      </c>
      <c r="B58" s="58"/>
      <c r="C58" s="58"/>
      <c r="D58" s="58"/>
      <c r="E58" s="58"/>
      <c r="F58" s="58"/>
      <c r="G58" s="58"/>
      <c r="H58" s="58"/>
      <c r="I58" s="58"/>
      <c r="J58" s="42"/>
      <c r="K58" s="42"/>
      <c r="L58" s="42">
        <v>336.1</v>
      </c>
      <c r="M58" s="74">
        <f t="shared" si="51"/>
        <v>336.1</v>
      </c>
      <c r="N58" s="74"/>
      <c r="O58" s="74"/>
      <c r="P58" s="15" t="s">
        <v>105</v>
      </c>
      <c r="Q58" s="75" t="e">
        <f>M25+#REF!+#REF!</f>
        <v>#REF!</v>
      </c>
      <c r="R58" s="46" t="e">
        <f t="shared" si="52"/>
        <v>#REF!</v>
      </c>
      <c r="S58" s="76"/>
    </row>
    <row r="59" spans="1:19" ht="15">
      <c r="A59" s="15" t="s">
        <v>19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>
        <v>0</v>
      </c>
      <c r="M59" s="74">
        <f>SUM(B59:L59)</f>
        <v>0</v>
      </c>
      <c r="N59" s="74"/>
      <c r="O59" s="74"/>
      <c r="P59" s="15" t="s">
        <v>19</v>
      </c>
      <c r="Q59" s="75" t="e">
        <f>M26+#REF!+#REF!</f>
        <v>#REF!</v>
      </c>
      <c r="R59" s="46" t="e">
        <f t="shared" si="52"/>
        <v>#REF!</v>
      </c>
      <c r="S59" s="76"/>
    </row>
    <row r="60" spans="1:19" ht="15">
      <c r="A60" s="15" t="s">
        <v>20</v>
      </c>
      <c r="B60" s="58"/>
      <c r="C60" s="58"/>
      <c r="D60" s="58"/>
      <c r="E60" s="58"/>
      <c r="F60" s="58"/>
      <c r="G60" s="58"/>
      <c r="H60" s="58"/>
      <c r="I60" s="58"/>
      <c r="J60" s="42"/>
      <c r="K60" s="42"/>
      <c r="L60" s="42">
        <v>1112.2</v>
      </c>
      <c r="M60" s="74">
        <f t="shared" si="51"/>
        <v>1112.2</v>
      </c>
      <c r="N60" s="74"/>
      <c r="O60" s="74"/>
      <c r="P60" s="15" t="s">
        <v>20</v>
      </c>
      <c r="Q60" s="75" t="e">
        <f>M27+#REF!+#REF!</f>
        <v>#REF!</v>
      </c>
      <c r="R60" s="46" t="e">
        <f t="shared" si="52"/>
        <v>#REF!</v>
      </c>
      <c r="S60" s="76"/>
    </row>
    <row r="61" spans="1:19" ht="15">
      <c r="A61" s="15" t="s">
        <v>49</v>
      </c>
      <c r="B61" s="58"/>
      <c r="C61" s="58"/>
      <c r="D61" s="58"/>
      <c r="E61" s="58"/>
      <c r="F61" s="58"/>
      <c r="G61" s="58"/>
      <c r="H61" s="58"/>
      <c r="I61" s="58"/>
      <c r="J61" s="42"/>
      <c r="K61" s="42"/>
      <c r="L61" s="42">
        <v>1695.7</v>
      </c>
      <c r="M61" s="74">
        <f t="shared" si="51"/>
        <v>1695.7</v>
      </c>
      <c r="N61" s="74"/>
      <c r="O61" s="74"/>
      <c r="P61" s="15" t="s">
        <v>49</v>
      </c>
      <c r="Q61" s="75" t="e">
        <f>M28+#REF!+#REF!</f>
        <v>#REF!</v>
      </c>
      <c r="R61" s="46" t="e">
        <f t="shared" si="52"/>
        <v>#REF!</v>
      </c>
      <c r="S61" s="76"/>
    </row>
    <row r="62" spans="1:19" ht="15">
      <c r="A62" s="15" t="s">
        <v>21</v>
      </c>
      <c r="B62" s="58"/>
      <c r="C62" s="58"/>
      <c r="D62" s="58"/>
      <c r="E62" s="58"/>
      <c r="F62" s="58"/>
      <c r="G62" s="58"/>
      <c r="H62" s="58"/>
      <c r="I62" s="58"/>
      <c r="J62" s="42"/>
      <c r="K62" s="42"/>
      <c r="L62" s="42">
        <v>789</v>
      </c>
      <c r="M62" s="74">
        <f t="shared" si="51"/>
        <v>789</v>
      </c>
      <c r="N62" s="74"/>
      <c r="O62" s="74"/>
      <c r="P62" s="15" t="s">
        <v>21</v>
      </c>
      <c r="Q62" s="75" t="e">
        <f>M29+#REF!+#REF!</f>
        <v>#REF!</v>
      </c>
      <c r="R62" s="46" t="e">
        <f t="shared" si="52"/>
        <v>#REF!</v>
      </c>
      <c r="S62" s="76"/>
    </row>
    <row r="63" spans="1:19" ht="15">
      <c r="A63" s="21" t="s">
        <v>106</v>
      </c>
      <c r="B63" s="62">
        <f aca="true" t="shared" si="53" ref="B63:R63">SUM(B38:B62)</f>
        <v>0</v>
      </c>
      <c r="C63" s="62">
        <f t="shared" si="53"/>
        <v>0</v>
      </c>
      <c r="D63" s="62">
        <f t="shared" si="53"/>
        <v>0</v>
      </c>
      <c r="E63" s="62">
        <f t="shared" si="53"/>
        <v>0</v>
      </c>
      <c r="F63" s="62">
        <f t="shared" si="53"/>
        <v>0</v>
      </c>
      <c r="G63" s="62">
        <f t="shared" si="53"/>
        <v>0</v>
      </c>
      <c r="H63" s="62">
        <f t="shared" si="53"/>
        <v>0</v>
      </c>
      <c r="I63" s="62">
        <f t="shared" si="53"/>
        <v>0</v>
      </c>
      <c r="J63" s="62">
        <f t="shared" si="53"/>
        <v>0</v>
      </c>
      <c r="K63" s="62">
        <f t="shared" si="53"/>
        <v>0</v>
      </c>
      <c r="L63" s="62">
        <f t="shared" si="53"/>
        <v>13508.9</v>
      </c>
      <c r="M63" s="62">
        <f t="shared" si="53"/>
        <v>13508.9</v>
      </c>
      <c r="N63" s="62"/>
      <c r="O63" s="62"/>
      <c r="P63" s="61" t="s">
        <v>106</v>
      </c>
      <c r="Q63" s="62" t="e">
        <f t="shared" si="53"/>
        <v>#REF!</v>
      </c>
      <c r="R63" s="62" t="e">
        <f t="shared" si="53"/>
        <v>#REF!</v>
      </c>
      <c r="S63" s="77"/>
    </row>
    <row r="64" spans="13:15" ht="15">
      <c r="M64" s="78"/>
      <c r="N64" s="78"/>
      <c r="O64" s="78"/>
    </row>
    <row r="65" spans="13:15" ht="15">
      <c r="M65" s="78"/>
      <c r="N65" s="78"/>
      <c r="O65" s="78"/>
    </row>
  </sheetData>
  <sheetProtection/>
  <mergeCells count="35">
    <mergeCell ref="P2:P4"/>
    <mergeCell ref="Q2:Q4"/>
    <mergeCell ref="BG3:BG4"/>
    <mergeCell ref="BH3:BL3"/>
    <mergeCell ref="BN3:BN4"/>
    <mergeCell ref="BO3:BQ3"/>
    <mergeCell ref="AC3:AC4"/>
    <mergeCell ref="AD3:AK3"/>
    <mergeCell ref="AL3:AO3"/>
    <mergeCell ref="AP3:AP4"/>
    <mergeCell ref="BY2:BY4"/>
    <mergeCell ref="BS3:BW3"/>
    <mergeCell ref="BR3:BR4"/>
    <mergeCell ref="AS3:AU3"/>
    <mergeCell ref="AV3:AV4"/>
    <mergeCell ref="AW3:AY3"/>
    <mergeCell ref="AZ3:AZ4"/>
    <mergeCell ref="BC3:BC4"/>
    <mergeCell ref="BD3:BF3"/>
    <mergeCell ref="AQ3:AQ4"/>
    <mergeCell ref="AR3:AR4"/>
    <mergeCell ref="BN2:BQ2"/>
    <mergeCell ref="BR2:BW2"/>
    <mergeCell ref="BX2:BX4"/>
    <mergeCell ref="AB3:AB4"/>
    <mergeCell ref="BZ2:CA2"/>
    <mergeCell ref="R2:AB2"/>
    <mergeCell ref="AC2:AZ2"/>
    <mergeCell ref="BA2:BA4"/>
    <mergeCell ref="BC2:BF2"/>
    <mergeCell ref="BG2:BL2"/>
    <mergeCell ref="BM2:BM3"/>
    <mergeCell ref="R3:U3"/>
    <mergeCell ref="V3:X3"/>
    <mergeCell ref="Y3:AA3"/>
  </mergeCells>
  <printOptions/>
  <pageMargins left="0.15748031496062992" right="0.15748031496062992" top="0.3937007874015748" bottom="0.1968503937007874" header="0.11811023622047245" footer="0.11811023622047245"/>
  <pageSetup fitToWidth="5" fitToHeight="1" horizontalDpi="600" verticalDpi="600" orientation="landscape" paperSize="9" scale="76" r:id="rId1"/>
  <rowBreaks count="1" manualBreakCount="1">
    <brk id="64" max="75" man="1"/>
  </rowBreaks>
  <colBreaks count="2" manualBreakCount="2">
    <brk id="37" max="31" man="1"/>
    <brk id="54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J22"/>
  <sheetViews>
    <sheetView view="pageBreakPreview" zoomScale="80" zoomScaleNormal="90" zoomScaleSheetLayoutView="80" zoomScalePageLayoutView="0" workbookViewId="0" topLeftCell="A13">
      <selection activeCell="B11" sqref="B11:H13"/>
    </sheetView>
  </sheetViews>
  <sheetFormatPr defaultColWidth="9.00390625" defaultRowHeight="12.75"/>
  <cols>
    <col min="1" max="1" width="5.50390625" style="0" customWidth="1"/>
    <col min="2" max="2" width="34.125" style="0" customWidth="1"/>
    <col min="4" max="4" width="15.50390625" style="0" customWidth="1"/>
  </cols>
  <sheetData>
    <row r="1" spans="1:10" ht="22.5" customHeight="1">
      <c r="A1" s="1"/>
      <c r="B1" s="367" t="s">
        <v>0</v>
      </c>
      <c r="C1" s="368"/>
      <c r="D1" s="368"/>
      <c r="E1" s="368"/>
      <c r="F1" s="368"/>
      <c r="G1" s="368"/>
      <c r="H1" s="2"/>
      <c r="I1" s="2"/>
      <c r="J1" s="2"/>
    </row>
    <row r="2" spans="1:10" ht="12.75" customHeight="1">
      <c r="A2" s="1"/>
      <c r="B2" s="2"/>
      <c r="C2" s="2"/>
      <c r="D2" s="2"/>
      <c r="E2" s="2"/>
      <c r="F2" s="2"/>
      <c r="G2" s="2"/>
      <c r="H2" s="3"/>
      <c r="I2" s="3"/>
      <c r="J2" s="3"/>
    </row>
    <row r="3" spans="1:10" ht="20.25">
      <c r="A3" s="1"/>
      <c r="B3" s="368" t="s">
        <v>1</v>
      </c>
      <c r="C3" s="368"/>
      <c r="D3" s="368"/>
      <c r="E3" s="368"/>
      <c r="F3" s="368"/>
      <c r="G3" s="368"/>
      <c r="H3" s="4"/>
      <c r="I3" s="4"/>
      <c r="J3" s="4"/>
    </row>
    <row r="4" spans="1:10" ht="18">
      <c r="A4" s="1"/>
      <c r="B4" s="5" t="s">
        <v>51</v>
      </c>
      <c r="C4" s="5"/>
      <c r="D4" s="5"/>
      <c r="E4" s="5"/>
      <c r="F4" s="5" t="s">
        <v>50</v>
      </c>
      <c r="G4" s="5"/>
      <c r="H4" s="6"/>
      <c r="I4" s="6"/>
      <c r="J4" s="6"/>
    </row>
    <row r="5" spans="1:7" ht="18">
      <c r="A5" s="1"/>
      <c r="B5" s="1"/>
      <c r="C5" s="1"/>
      <c r="D5" s="5"/>
      <c r="E5" s="5"/>
      <c r="F5" s="5"/>
      <c r="G5" s="1"/>
    </row>
    <row r="6" spans="1:7" ht="58.5" customHeight="1">
      <c r="A6" s="1"/>
      <c r="B6" s="369" t="s">
        <v>161</v>
      </c>
      <c r="C6" s="369"/>
      <c r="D6" s="369"/>
      <c r="E6" s="369"/>
      <c r="F6" s="369"/>
      <c r="G6" s="369"/>
    </row>
    <row r="7" spans="1:8" ht="240.75" customHeight="1">
      <c r="A7" s="1"/>
      <c r="B7" s="369" t="s">
        <v>52</v>
      </c>
      <c r="C7" s="369"/>
      <c r="D7" s="369"/>
      <c r="E7" s="369"/>
      <c r="F7" s="369"/>
      <c r="G7" s="369"/>
      <c r="H7" s="369"/>
    </row>
    <row r="8" spans="1:10" ht="20.25" customHeight="1">
      <c r="A8" s="1"/>
      <c r="B8" s="370" t="s">
        <v>2</v>
      </c>
      <c r="C8" s="370"/>
      <c r="D8" s="370"/>
      <c r="E8" s="370"/>
      <c r="F8" s="370"/>
      <c r="G8" s="370"/>
      <c r="H8" s="8"/>
      <c r="I8" s="8"/>
      <c r="J8" s="8"/>
    </row>
    <row r="9" spans="1:10" ht="20.25" customHeight="1">
      <c r="A9" s="1"/>
      <c r="B9" s="14"/>
      <c r="C9" s="14"/>
      <c r="D9" s="14"/>
      <c r="E9" s="14"/>
      <c r="F9" s="14"/>
      <c r="G9" s="14"/>
      <c r="H9" s="8"/>
      <c r="I9" s="8"/>
      <c r="J9" s="8"/>
    </row>
    <row r="10" spans="1:8" ht="57.75" customHeight="1">
      <c r="A10" s="1"/>
      <c r="B10" s="371" t="s">
        <v>53</v>
      </c>
      <c r="C10" s="371"/>
      <c r="D10" s="371"/>
      <c r="E10" s="371"/>
      <c r="F10" s="371"/>
      <c r="G10" s="371"/>
      <c r="H10" s="371"/>
    </row>
    <row r="11" spans="1:8" ht="54" customHeight="1">
      <c r="A11" s="1"/>
      <c r="B11" s="371" t="s">
        <v>162</v>
      </c>
      <c r="C11" s="371"/>
      <c r="D11" s="371"/>
      <c r="E11" s="371"/>
      <c r="F11" s="371"/>
      <c r="G11" s="371"/>
      <c r="H11" s="371"/>
    </row>
    <row r="12" spans="1:8" ht="38.25" customHeight="1">
      <c r="A12" s="1"/>
      <c r="B12" s="371" t="s">
        <v>207</v>
      </c>
      <c r="C12" s="371"/>
      <c r="D12" s="371"/>
      <c r="E12" s="371"/>
      <c r="F12" s="371"/>
      <c r="G12" s="371"/>
      <c r="H12" s="371"/>
    </row>
    <row r="13" spans="1:8" ht="75" customHeight="1">
      <c r="A13" s="1"/>
      <c r="B13" s="371" t="s">
        <v>163</v>
      </c>
      <c r="C13" s="371"/>
      <c r="D13" s="371"/>
      <c r="E13" s="371"/>
      <c r="F13" s="371"/>
      <c r="G13" s="371"/>
      <c r="H13" s="371"/>
    </row>
    <row r="14" spans="1:8" ht="93" customHeight="1">
      <c r="A14" s="1"/>
      <c r="B14" s="371" t="s">
        <v>242</v>
      </c>
      <c r="C14" s="371"/>
      <c r="D14" s="371"/>
      <c r="E14" s="371"/>
      <c r="F14" s="371"/>
      <c r="G14" s="371"/>
      <c r="H14" s="371"/>
    </row>
    <row r="15" spans="1:8" ht="39" customHeight="1">
      <c r="A15" s="1"/>
      <c r="B15" s="371" t="s">
        <v>243</v>
      </c>
      <c r="C15" s="371"/>
      <c r="D15" s="371"/>
      <c r="E15" s="371"/>
      <c r="F15" s="371"/>
      <c r="G15" s="371"/>
      <c r="H15" s="371"/>
    </row>
    <row r="16" spans="1:8" ht="81" customHeight="1">
      <c r="A16" s="1"/>
      <c r="B16" s="371" t="s">
        <v>244</v>
      </c>
      <c r="C16" s="371"/>
      <c r="D16" s="371"/>
      <c r="E16" s="371"/>
      <c r="F16" s="371"/>
      <c r="G16" s="371"/>
      <c r="H16" s="371"/>
    </row>
    <row r="17" spans="1:8" ht="38.25" customHeight="1">
      <c r="A17" s="1"/>
      <c r="B17" s="366" t="s">
        <v>245</v>
      </c>
      <c r="C17" s="366"/>
      <c r="D17" s="366"/>
      <c r="E17" s="366"/>
      <c r="F17" s="366"/>
      <c r="G17" s="366"/>
      <c r="H17" s="366"/>
    </row>
    <row r="18" spans="1:7" ht="17.25">
      <c r="A18" s="1"/>
      <c r="B18" s="10"/>
      <c r="C18" s="11"/>
      <c r="D18" s="12"/>
      <c r="E18" s="9"/>
      <c r="F18" s="1"/>
      <c r="G18" s="1"/>
    </row>
    <row r="19" spans="1:7" ht="18">
      <c r="A19" s="1"/>
      <c r="B19" s="5"/>
      <c r="C19" s="7" t="s">
        <v>46</v>
      </c>
      <c r="D19" s="5"/>
      <c r="F19" s="5" t="s">
        <v>164</v>
      </c>
      <c r="G19" s="1"/>
    </row>
    <row r="20" spans="1:7" ht="18">
      <c r="A20" s="1"/>
      <c r="B20" s="5"/>
      <c r="C20" s="7"/>
      <c r="D20" s="5"/>
      <c r="F20" s="5"/>
      <c r="G20" s="1"/>
    </row>
    <row r="22" ht="12.75">
      <c r="B22" t="s">
        <v>47</v>
      </c>
    </row>
  </sheetData>
  <sheetProtection/>
  <mergeCells count="13">
    <mergeCell ref="B14:H14"/>
    <mergeCell ref="B16:H16"/>
    <mergeCell ref="B15:H15"/>
    <mergeCell ref="B17:H17"/>
    <mergeCell ref="B1:G1"/>
    <mergeCell ref="B3:G3"/>
    <mergeCell ref="B6:G6"/>
    <mergeCell ref="B8:G8"/>
    <mergeCell ref="B7:H7"/>
    <mergeCell ref="B10:H10"/>
    <mergeCell ref="B11:H11"/>
    <mergeCell ref="B12:H12"/>
    <mergeCell ref="B13:H13"/>
  </mergeCells>
  <printOptions/>
  <pageMargins left="0.5905511811023623" right="0.1968503937007874" top="0.7874015748031497" bottom="0.5905511811023623" header="0.11811023622047245" footer="0.11811023622047245"/>
  <pageSetup horizontalDpi="600" verticalDpi="600" orientation="portrait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23"/>
  <sheetViews>
    <sheetView view="pageBreakPreview" zoomScale="60" zoomScaleNormal="80" zoomScalePageLayoutView="0" workbookViewId="0" topLeftCell="A1">
      <selection activeCell="E28" sqref="E28"/>
    </sheetView>
  </sheetViews>
  <sheetFormatPr defaultColWidth="9.00390625" defaultRowHeight="12.75"/>
  <cols>
    <col min="1" max="1" width="2.375" style="0" customWidth="1"/>
    <col min="2" max="2" width="13.875" style="0" customWidth="1"/>
    <col min="3" max="3" width="16.50390625" style="0" customWidth="1"/>
    <col min="4" max="4" width="14.00390625" style="0" customWidth="1"/>
    <col min="5" max="5" width="12.50390625" style="0" customWidth="1"/>
    <col min="6" max="6" width="17.00390625" style="0" customWidth="1"/>
    <col min="7" max="7" width="16.50390625" style="0" customWidth="1"/>
    <col min="8" max="8" width="30.50390625" style="0" customWidth="1"/>
  </cols>
  <sheetData>
    <row r="1" spans="1:7" ht="18">
      <c r="A1" s="210"/>
      <c r="B1" s="210"/>
      <c r="C1" s="210"/>
      <c r="D1" s="210" t="s">
        <v>227</v>
      </c>
      <c r="E1" s="210"/>
      <c r="F1" s="210"/>
      <c r="G1" s="210"/>
    </row>
    <row r="2" spans="1:7" ht="18">
      <c r="A2" s="210"/>
      <c r="B2" s="210"/>
      <c r="C2" s="210"/>
      <c r="D2" s="210"/>
      <c r="E2" s="210"/>
      <c r="F2" s="210"/>
      <c r="G2" s="210"/>
    </row>
    <row r="3" spans="1:7" ht="18">
      <c r="A3" s="210"/>
      <c r="B3" s="210"/>
      <c r="C3" s="210"/>
      <c r="D3" s="210"/>
      <c r="E3" s="210"/>
      <c r="F3" s="210"/>
      <c r="G3" s="210"/>
    </row>
    <row r="4" spans="1:8" ht="78.75" customHeight="1">
      <c r="A4" s="210"/>
      <c r="B4" s="372" t="s">
        <v>208</v>
      </c>
      <c r="C4" s="372"/>
      <c r="D4" s="372"/>
      <c r="E4" s="372"/>
      <c r="F4" s="372"/>
      <c r="G4" s="372"/>
      <c r="H4" s="372"/>
    </row>
    <row r="5" spans="1:7" ht="8.25" customHeight="1">
      <c r="A5" s="210"/>
      <c r="B5" s="210"/>
      <c r="C5" s="210"/>
      <c r="D5" s="210"/>
      <c r="E5" s="210"/>
      <c r="F5" s="210"/>
      <c r="G5" s="210"/>
    </row>
    <row r="6" spans="1:8" ht="22.5" customHeight="1">
      <c r="A6" s="210"/>
      <c r="B6" s="373" t="s">
        <v>209</v>
      </c>
      <c r="C6" s="373"/>
      <c r="D6" s="373"/>
      <c r="E6" s="373"/>
      <c r="F6" s="373"/>
      <c r="G6" s="373"/>
      <c r="H6" s="373"/>
    </row>
    <row r="7" spans="1:8" ht="37.5" customHeight="1">
      <c r="A7" s="210"/>
      <c r="B7" s="376" t="s">
        <v>212</v>
      </c>
      <c r="C7" s="374" t="s">
        <v>210</v>
      </c>
      <c r="D7" s="375"/>
      <c r="E7" s="375"/>
      <c r="F7" s="375"/>
      <c r="G7" s="375"/>
      <c r="H7" s="209" t="s">
        <v>211</v>
      </c>
    </row>
    <row r="8" spans="1:8" ht="37.5" customHeight="1">
      <c r="A8" s="210"/>
      <c r="B8" s="377"/>
      <c r="C8" s="379" t="s">
        <v>235</v>
      </c>
      <c r="D8" s="379"/>
      <c r="E8" s="374" t="s">
        <v>238</v>
      </c>
      <c r="F8" s="375"/>
      <c r="G8" s="375"/>
      <c r="H8" s="384" t="s">
        <v>214</v>
      </c>
    </row>
    <row r="9" spans="1:8" ht="126" customHeight="1">
      <c r="A9" s="210"/>
      <c r="B9" s="377"/>
      <c r="C9" s="31" t="s">
        <v>213</v>
      </c>
      <c r="D9" s="31" t="s">
        <v>236</v>
      </c>
      <c r="E9" s="237" t="s">
        <v>239</v>
      </c>
      <c r="F9" s="240" t="s">
        <v>241</v>
      </c>
      <c r="G9" s="240" t="s">
        <v>240</v>
      </c>
      <c r="H9" s="385"/>
    </row>
    <row r="10" spans="1:8" ht="18">
      <c r="A10" s="210"/>
      <c r="B10" s="378"/>
      <c r="C10" s="374" t="s">
        <v>237</v>
      </c>
      <c r="D10" s="375"/>
      <c r="E10" s="375"/>
      <c r="F10" s="375"/>
      <c r="G10" s="375"/>
      <c r="H10" s="380"/>
    </row>
    <row r="11" spans="1:8" ht="18">
      <c r="A11" s="210"/>
      <c r="B11" s="212" t="s">
        <v>215</v>
      </c>
      <c r="C11" s="213">
        <v>39509</v>
      </c>
      <c r="D11" s="213">
        <v>34789</v>
      </c>
      <c r="E11" s="213">
        <v>48705</v>
      </c>
      <c r="F11" s="213">
        <v>34789</v>
      </c>
      <c r="G11" s="213">
        <v>34789</v>
      </c>
      <c r="H11" s="213"/>
    </row>
    <row r="12" spans="1:8" ht="18">
      <c r="A12" s="210"/>
      <c r="B12" s="212" t="s">
        <v>216</v>
      </c>
      <c r="C12" s="213">
        <v>47714</v>
      </c>
      <c r="D12" s="213">
        <v>42033</v>
      </c>
      <c r="E12" s="213">
        <v>58846</v>
      </c>
      <c r="F12" s="213">
        <v>42033</v>
      </c>
      <c r="G12" s="213"/>
      <c r="H12" s="213"/>
    </row>
    <row r="13" spans="1:8" ht="18">
      <c r="A13" s="210"/>
      <c r="B13" s="212" t="s">
        <v>217</v>
      </c>
      <c r="C13" s="213"/>
      <c r="D13" s="213"/>
      <c r="E13" s="213"/>
      <c r="F13" s="213">
        <v>23924</v>
      </c>
      <c r="G13" s="213">
        <v>23924</v>
      </c>
      <c r="H13" s="213"/>
    </row>
    <row r="14" spans="2:8" ht="30" customHeight="1">
      <c r="B14" s="387" t="s">
        <v>218</v>
      </c>
      <c r="C14" s="387"/>
      <c r="D14" s="387"/>
      <c r="E14" s="387"/>
      <c r="F14" s="387"/>
      <c r="G14" s="387"/>
      <c r="H14" s="387"/>
    </row>
    <row r="15" spans="2:8" ht="30.75">
      <c r="B15" s="214"/>
      <c r="C15" s="386" t="s">
        <v>210</v>
      </c>
      <c r="D15" s="386"/>
      <c r="E15" s="386"/>
      <c r="F15" s="386"/>
      <c r="G15" s="386"/>
      <c r="H15" s="239" t="str">
        <f>H7</f>
        <v>группы компенсирующей направленности</v>
      </c>
    </row>
    <row r="16" spans="2:8" ht="36" customHeight="1">
      <c r="B16" s="214"/>
      <c r="C16" s="386" t="str">
        <f>C8</f>
        <v>одновозрастные</v>
      </c>
      <c r="D16" s="386"/>
      <c r="E16" s="386" t="str">
        <f>E8</f>
        <v>разновозрастные</v>
      </c>
      <c r="F16" s="386"/>
      <c r="G16" s="386"/>
      <c r="H16" s="228"/>
    </row>
    <row r="17" spans="2:8" ht="132" customHeight="1">
      <c r="B17" s="388" t="s">
        <v>212</v>
      </c>
      <c r="C17" s="31" t="s">
        <v>213</v>
      </c>
      <c r="D17" s="31" t="s">
        <v>236</v>
      </c>
      <c r="E17" s="241" t="str">
        <f>E9</f>
        <v>от 2-х месяцев до 8 лет</v>
      </c>
      <c r="F17" s="241" t="str">
        <f>F9</f>
        <v>дети старше 3-х лет     (два возраста)</v>
      </c>
      <c r="G17" s="241" t="str">
        <f>G9</f>
        <v>дети старше 3 лет (три возраста)</v>
      </c>
      <c r="H17" s="239" t="s">
        <v>214</v>
      </c>
    </row>
    <row r="18" spans="2:8" ht="20.25" customHeight="1">
      <c r="B18" s="389"/>
      <c r="C18" s="381" t="s">
        <v>234</v>
      </c>
      <c r="D18" s="382"/>
      <c r="E18" s="382"/>
      <c r="F18" s="382"/>
      <c r="G18" s="382"/>
      <c r="H18" s="383"/>
    </row>
    <row r="19" spans="2:8" ht="15">
      <c r="B19" s="214" t="s">
        <v>215</v>
      </c>
      <c r="C19" s="242">
        <v>34264</v>
      </c>
      <c r="D19" s="242">
        <v>30229</v>
      </c>
      <c r="E19" s="238">
        <v>42320</v>
      </c>
      <c r="F19" s="242">
        <v>30229</v>
      </c>
      <c r="G19" s="242">
        <v>30229</v>
      </c>
      <c r="H19" s="242"/>
    </row>
    <row r="20" spans="2:8" ht="15">
      <c r="B20" s="214" t="s">
        <v>216</v>
      </c>
      <c r="C20" s="242">
        <v>41392</v>
      </c>
      <c r="D20" s="242">
        <v>36536</v>
      </c>
      <c r="E20" s="238">
        <v>51150</v>
      </c>
      <c r="F20" s="242">
        <v>36536</v>
      </c>
      <c r="G20" s="242"/>
      <c r="H20" s="242">
        <v>91395</v>
      </c>
    </row>
    <row r="21" spans="2:8" ht="15">
      <c r="B21" s="214" t="s">
        <v>217</v>
      </c>
      <c r="C21" s="243"/>
      <c r="D21" s="244"/>
      <c r="E21" s="245"/>
      <c r="F21" s="242">
        <v>20768</v>
      </c>
      <c r="G21" s="244">
        <v>20768</v>
      </c>
      <c r="H21" s="243"/>
    </row>
    <row r="22" spans="2:7" ht="18">
      <c r="B22" s="215"/>
      <c r="C22" s="215"/>
      <c r="D22" s="215"/>
      <c r="E22" s="215"/>
      <c r="F22" s="215"/>
      <c r="G22" s="215"/>
    </row>
    <row r="23" spans="2:7" ht="18">
      <c r="B23" s="215"/>
      <c r="C23" s="215"/>
      <c r="D23" s="215"/>
      <c r="E23" s="215"/>
      <c r="F23" s="215"/>
      <c r="G23" s="215"/>
    </row>
  </sheetData>
  <sheetProtection/>
  <mergeCells count="14">
    <mergeCell ref="C18:H18"/>
    <mergeCell ref="H8:H9"/>
    <mergeCell ref="C16:D16"/>
    <mergeCell ref="E8:G8"/>
    <mergeCell ref="E16:G16"/>
    <mergeCell ref="B14:H14"/>
    <mergeCell ref="C15:G15"/>
    <mergeCell ref="B17:B18"/>
    <mergeCell ref="B4:H4"/>
    <mergeCell ref="B6:H6"/>
    <mergeCell ref="C7:G7"/>
    <mergeCell ref="B7:B10"/>
    <mergeCell ref="C8:D8"/>
    <mergeCell ref="C10:H10"/>
  </mergeCells>
  <printOptions/>
  <pageMargins left="0" right="0" top="0.7480314960629921" bottom="0.35433070866141736" header="0.11811023622047245" footer="0.11811023622047245"/>
  <pageSetup fitToHeight="2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9"/>
  <sheetViews>
    <sheetView tabSelected="1" view="pageBreakPreview" zoomScale="60" zoomScaleNormal="90" zoomScalePageLayoutView="0" workbookViewId="0" topLeftCell="A1">
      <selection activeCell="B1" sqref="B1"/>
    </sheetView>
  </sheetViews>
  <sheetFormatPr defaultColWidth="9.00390625" defaultRowHeight="12.75"/>
  <cols>
    <col min="1" max="1" width="2.375" style="0" customWidth="1"/>
    <col min="2" max="2" width="25.25390625" style="0" customWidth="1"/>
    <col min="3" max="3" width="33.25390625" style="0" customWidth="1"/>
    <col min="4" max="4" width="42.50390625" style="0" customWidth="1"/>
    <col min="5" max="5" width="41.00390625" style="0" customWidth="1"/>
    <col min="6" max="6" width="33.50390625" style="0" customWidth="1"/>
  </cols>
  <sheetData>
    <row r="1" spans="1:6" ht="45.75" customHeight="1">
      <c r="A1" s="210"/>
      <c r="B1" s="216" t="s">
        <v>226</v>
      </c>
      <c r="C1" s="210"/>
      <c r="D1" s="210"/>
      <c r="E1" s="216"/>
      <c r="F1" s="217"/>
    </row>
    <row r="2" spans="1:6" ht="96" customHeight="1">
      <c r="A2" s="210"/>
      <c r="B2" s="372" t="s">
        <v>219</v>
      </c>
      <c r="C2" s="372"/>
      <c r="D2" s="372"/>
      <c r="E2" s="372"/>
      <c r="F2" s="372"/>
    </row>
    <row r="3" spans="1:6" ht="21" customHeight="1">
      <c r="A3" s="210"/>
      <c r="B3" s="373" t="s">
        <v>209</v>
      </c>
      <c r="C3" s="373"/>
      <c r="D3" s="373"/>
      <c r="E3" s="373"/>
      <c r="F3" s="373"/>
    </row>
    <row r="4" spans="1:6" ht="117.75" customHeight="1">
      <c r="A4" s="210"/>
      <c r="B4" s="211"/>
      <c r="C4" s="220" t="s">
        <v>220</v>
      </c>
      <c r="D4" s="223" t="s">
        <v>221</v>
      </c>
      <c r="E4" s="230" t="s">
        <v>231</v>
      </c>
      <c r="F4" s="229" t="s">
        <v>232</v>
      </c>
    </row>
    <row r="5" spans="1:6" ht="18" customHeight="1">
      <c r="A5" s="210"/>
      <c r="B5" s="231"/>
      <c r="C5" s="221" t="s">
        <v>222</v>
      </c>
      <c r="D5" s="227" t="s">
        <v>223</v>
      </c>
      <c r="E5" s="227" t="s">
        <v>222</v>
      </c>
      <c r="F5" s="224" t="s">
        <v>222</v>
      </c>
    </row>
    <row r="6" spans="1:6" ht="33" customHeight="1">
      <c r="A6" s="210"/>
      <c r="B6" s="211" t="s">
        <v>230</v>
      </c>
      <c r="C6" s="233">
        <v>42079</v>
      </c>
      <c r="D6" s="233">
        <v>545660</v>
      </c>
      <c r="E6" s="233">
        <v>227198</v>
      </c>
      <c r="F6" s="233"/>
    </row>
    <row r="7" spans="1:6" ht="39" customHeight="1">
      <c r="A7" s="210"/>
      <c r="B7" s="211" t="s">
        <v>224</v>
      </c>
      <c r="C7" s="233">
        <v>47485</v>
      </c>
      <c r="D7" s="233">
        <v>796789</v>
      </c>
      <c r="E7" s="233">
        <v>262371</v>
      </c>
      <c r="F7" s="233"/>
    </row>
    <row r="8" spans="2:6" ht="43.5" customHeight="1">
      <c r="B8" s="218" t="s">
        <v>228</v>
      </c>
      <c r="C8" s="234">
        <v>3077</v>
      </c>
      <c r="D8" s="234">
        <v>11183</v>
      </c>
      <c r="E8" s="233"/>
      <c r="F8" s="233"/>
    </row>
    <row r="9" spans="2:6" ht="45" customHeight="1">
      <c r="B9" s="218" t="s">
        <v>229</v>
      </c>
      <c r="C9" s="234">
        <v>9229</v>
      </c>
      <c r="D9" s="234"/>
      <c r="E9" s="234"/>
      <c r="F9" s="234"/>
    </row>
    <row r="10" spans="2:6" ht="41.25" customHeight="1">
      <c r="B10" s="211" t="s">
        <v>225</v>
      </c>
      <c r="C10" s="233">
        <v>54534</v>
      </c>
      <c r="D10" s="233">
        <v>915178</v>
      </c>
      <c r="E10" s="233">
        <v>314847</v>
      </c>
      <c r="F10" s="233"/>
    </row>
    <row r="11" spans="2:6" ht="15">
      <c r="B11" s="219"/>
      <c r="C11" s="219"/>
      <c r="D11" s="219"/>
      <c r="E11" s="219"/>
      <c r="F11" s="219"/>
    </row>
    <row r="12" spans="2:6" ht="15">
      <c r="B12" s="387" t="s">
        <v>218</v>
      </c>
      <c r="C12" s="387"/>
      <c r="D12" s="387"/>
      <c r="E12" s="387"/>
      <c r="F12" s="387"/>
    </row>
    <row r="13" spans="2:6" ht="105.75" customHeight="1">
      <c r="B13" s="214"/>
      <c r="C13" s="222" t="str">
        <f>C4</f>
        <v>общеобразовательные учреждения, не являющихся малокомплектными со среднесложившейся наполняемостью классов 17 уч-ся</v>
      </c>
      <c r="D13" s="225" t="s">
        <v>233</v>
      </c>
      <c r="E13" s="226" t="str">
        <f>E4</f>
        <v>Обучение на дому или в медицинских организациях, нуждающихся в длительном лечении, а также детей-инвалидов, которые по состоянию здоровья не могут посещать образовательные организации (без ФГОС)</v>
      </c>
      <c r="F13" s="228" t="str">
        <f>F4</f>
        <v>общеобразовательные учреждения с очно-заочной формой обучения, со среднесложившейся наполняемостью классов 17 уч-ся (без ФГОС)</v>
      </c>
    </row>
    <row r="14" spans="2:6" ht="18" customHeight="1">
      <c r="B14" s="232"/>
      <c r="C14" s="232" t="str">
        <f>C5</f>
        <v>на одного учащегося в год</v>
      </c>
      <c r="D14" s="232" t="s">
        <v>222</v>
      </c>
      <c r="E14" s="232" t="str">
        <f>E5</f>
        <v>на одного учащегося в год</v>
      </c>
      <c r="F14" s="232" t="str">
        <f>F5</f>
        <v>на одного учащегося в год</v>
      </c>
    </row>
    <row r="15" spans="2:6" ht="30.75">
      <c r="B15" s="211" t="s">
        <v>230</v>
      </c>
      <c r="C15" s="235">
        <v>36629</v>
      </c>
      <c r="D15" s="235"/>
      <c r="E15" s="235">
        <v>195450</v>
      </c>
      <c r="F15" s="235"/>
    </row>
    <row r="16" spans="2:6" ht="30.75">
      <c r="B16" s="211" t="s">
        <v>224</v>
      </c>
      <c r="C16" s="235">
        <v>41311</v>
      </c>
      <c r="D16" s="235">
        <v>45103</v>
      </c>
      <c r="E16" s="235">
        <v>225739</v>
      </c>
      <c r="F16" s="235">
        <v>30209</v>
      </c>
    </row>
    <row r="17" spans="2:6" ht="30.75">
      <c r="B17" s="218" t="s">
        <v>228</v>
      </c>
      <c r="C17" s="236">
        <v>2681</v>
      </c>
      <c r="D17" s="235"/>
      <c r="E17" s="235"/>
      <c r="F17" s="235"/>
    </row>
    <row r="18" spans="2:6" ht="30.75">
      <c r="B18" s="218" t="s">
        <v>229</v>
      </c>
      <c r="C18" s="236">
        <v>8043</v>
      </c>
      <c r="D18" s="236"/>
      <c r="E18" s="236"/>
      <c r="F18" s="236"/>
    </row>
    <row r="19" spans="2:6" ht="24.75" customHeight="1">
      <c r="B19" s="211" t="s">
        <v>225</v>
      </c>
      <c r="C19" s="235">
        <v>47434</v>
      </c>
      <c r="D19" s="235">
        <v>51795</v>
      </c>
      <c r="E19" s="235">
        <v>270889</v>
      </c>
      <c r="F19" s="235">
        <v>30667</v>
      </c>
    </row>
  </sheetData>
  <sheetProtection/>
  <mergeCells count="3">
    <mergeCell ref="B12:F12"/>
    <mergeCell ref="B2:F2"/>
    <mergeCell ref="B3:F3"/>
  </mergeCells>
  <printOptions/>
  <pageMargins left="0" right="0" top="0.7480314960629921" bottom="0.35433070866141736" header="0.11811023622047245" footer="0.11811023622047245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A30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User1</cp:lastModifiedBy>
  <cp:lastPrinted>2017-02-15T12:08:41Z</cp:lastPrinted>
  <dcterms:created xsi:type="dcterms:W3CDTF">2010-02-09T08:26:00Z</dcterms:created>
  <dcterms:modified xsi:type="dcterms:W3CDTF">2017-02-15T12:09:28Z</dcterms:modified>
  <cp:category/>
  <cp:version/>
  <cp:contentType/>
  <cp:contentStatus/>
</cp:coreProperties>
</file>